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 tabRatio="598" firstSheet="2" activeTab="2"/>
  </bookViews>
  <sheets>
    <sheet name="kiadás 1" sheetId="1" state="hidden" r:id="rId1"/>
    <sheet name="összesítés_támogatással 1" sheetId="2" state="hidden" r:id="rId2"/>
    <sheet name="2023. évi bevételek összesen" sheetId="12" r:id="rId3"/>
    <sheet name="Gyermekétkeztetés bevételei" sheetId="29" r:id="rId4"/>
    <sheet name="2023. évi kiadások mindösszesen" sheetId="11" r:id="rId5"/>
    <sheet name="Gyermekétkeztetés kiadásai" sheetId="18" r:id="rId6"/>
    <sheet name="091110 Óvodai nevelés" sheetId="9" r:id="rId7"/>
    <sheet name="091140 Óvoda fenntartás" sheetId="19" r:id="rId8"/>
    <sheet name="104031 Bölcsődei ellátás" sheetId="15" r:id="rId9"/>
    <sheet name="104043 Gyj. Központ " sheetId="14" r:id="rId10"/>
    <sheet name="104042 Gyj. Szolgálat" sheetId="21" r:id="rId11"/>
    <sheet name="104044 Nyitnikék Gyerekház " sheetId="26" r:id="rId12"/>
    <sheet name="EFOP-3.9.2 projekt" sheetId="28" r:id="rId13"/>
    <sheet name="TOP-5.2.1-15 projekt" sheetId="25" r:id="rId14"/>
    <sheet name="091120 Sajátos nevelési i" sheetId="31" r:id="rId15"/>
    <sheet name="kiadás 3" sheetId="6" state="hidden" r:id="rId16"/>
    <sheet name="összesítés_támogatással 3" sheetId="7" state="hidden" r:id="rId17"/>
  </sheets>
  <externalReferences>
    <externalReference r:id="rId18"/>
  </externalReferences>
  <definedNames>
    <definedName name="_xlnm.Print_Titles" localSheetId="6">'091110 Óvodai nevelés'!$2:$2</definedName>
    <definedName name="_xlnm.Print_Titles" localSheetId="7">'091140 Óvoda fenntartás'!$2:$2</definedName>
    <definedName name="_xlnm.Print_Titles" localSheetId="8">'104031 Bölcsődei ellátás'!$3:$3</definedName>
    <definedName name="_xlnm.Print_Titles" localSheetId="10">'104042 Gyj. Szolgálat'!$3:$3</definedName>
    <definedName name="_xlnm.Print_Titles" localSheetId="9">'104043 Gyj. Központ '!$3:$3</definedName>
    <definedName name="_xlnm.Print_Titles" localSheetId="11">'104044 Nyitnikék Gyerekház '!$3:$3</definedName>
    <definedName name="_xlnm.Print_Area" localSheetId="6">'091110 Óvodai nevelés'!$A$1:$D$120</definedName>
    <definedName name="_xlnm.Print_Area" localSheetId="14">'091120 Sajátos nevelési i'!$A$1:$D$27</definedName>
    <definedName name="_xlnm.Print_Area" localSheetId="7">'091140 Óvoda fenntartás'!$A$1:$D$86</definedName>
    <definedName name="_xlnm.Print_Area" localSheetId="8">'104031 Bölcsődei ellátás'!$A$1:$D$137</definedName>
    <definedName name="_xlnm.Print_Area" localSheetId="10">'104042 Gyj. Szolgálat'!$A$1:$D$130</definedName>
    <definedName name="_xlnm.Print_Area" localSheetId="9">'104043 Gyj. Központ '!$A$1:$D$159</definedName>
    <definedName name="_xlnm.Print_Area" localSheetId="11">'104044 Nyitnikék Gyerekház '!$A$1:$D$108</definedName>
    <definedName name="_xlnm.Print_Area" localSheetId="2">'2023. évi bevételek összesen'!$A$1:$G$15</definedName>
    <definedName name="_xlnm.Print_Area" localSheetId="4">'2023. évi kiadások mindösszesen'!$A$1:$I$17</definedName>
    <definedName name="_xlnm.Print_Area" localSheetId="12">'EFOP-3.9.2 projekt'!$A$1:$D$25</definedName>
    <definedName name="_xlnm.Print_Area" localSheetId="3">'Gyermekétkeztetés bevételei'!$A$1:$D$21</definedName>
    <definedName name="_xlnm.Print_Area" localSheetId="5">'Gyermekétkeztetés kiadásai'!$A$1:$D$65</definedName>
    <definedName name="_xlnm.Print_Area" localSheetId="13">'TOP-5.2.1-15 projekt'!$A$1:$D$28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2" l="1"/>
  <c r="D18" i="25" l="1"/>
  <c r="D29" i="26" l="1"/>
  <c r="D26" i="26"/>
  <c r="D38" i="21"/>
  <c r="D54" i="14" l="1"/>
  <c r="D51" i="14"/>
  <c r="D61" i="15"/>
  <c r="D58" i="15"/>
  <c r="D82" i="9"/>
  <c r="G10" i="11" l="1"/>
  <c r="E10" i="11"/>
  <c r="G6" i="11"/>
  <c r="E6" i="11"/>
  <c r="C6" i="18" l="1"/>
  <c r="D5" i="18" s="1"/>
  <c r="C53" i="18" l="1"/>
  <c r="C56" i="18"/>
  <c r="C54" i="18"/>
  <c r="C49" i="18"/>
  <c r="C47" i="18"/>
  <c r="C45" i="18"/>
  <c r="C44" i="18"/>
  <c r="C42" i="18"/>
  <c r="C41" i="18"/>
  <c r="C39" i="18" s="1"/>
  <c r="D37" i="18"/>
  <c r="C26" i="18"/>
  <c r="C24" i="18"/>
  <c r="C17" i="18"/>
  <c r="C14" i="18"/>
  <c r="C13" i="18"/>
  <c r="C11" i="18"/>
  <c r="C10" i="18"/>
  <c r="C8" i="18" s="1"/>
  <c r="C20" i="29"/>
  <c r="D19" i="29" s="1"/>
  <c r="D21" i="29" s="1"/>
  <c r="C18" i="29"/>
  <c r="C17" i="29"/>
  <c r="D15" i="29"/>
  <c r="C9" i="29"/>
  <c r="D8" i="29"/>
  <c r="C7" i="29"/>
  <c r="D4" i="29" s="1"/>
  <c r="D10" i="29" s="1"/>
  <c r="C6" i="29"/>
  <c r="C55" i="18" l="1"/>
  <c r="D39" i="18"/>
  <c r="D58" i="18" s="1"/>
  <c r="D62" i="18" s="1"/>
  <c r="C25" i="18"/>
  <c r="C23" i="18" s="1"/>
  <c r="D8" i="18"/>
  <c r="D28" i="18" s="1"/>
  <c r="D32" i="18" s="1"/>
  <c r="C58" i="18"/>
  <c r="C62" i="18" s="1"/>
  <c r="H21" i="29"/>
  <c r="H10" i="29"/>
  <c r="C28" i="25"/>
  <c r="E5" i="12"/>
  <c r="G5" i="12" s="1"/>
  <c r="E6" i="12"/>
  <c r="F6" i="12"/>
  <c r="G6" i="12" s="1"/>
  <c r="E8" i="12"/>
  <c r="G8" i="12" s="1"/>
  <c r="C9" i="12"/>
  <c r="E10" i="12"/>
  <c r="G10" i="12"/>
  <c r="K10" i="12" s="1"/>
  <c r="C11" i="12"/>
  <c r="E11" i="12" s="1"/>
  <c r="G11" i="12" s="1"/>
  <c r="K11" i="12" s="1"/>
  <c r="E12" i="12"/>
  <c r="G12" i="12" s="1"/>
  <c r="K12" i="12" s="1"/>
  <c r="E13" i="12"/>
  <c r="G13" i="12"/>
  <c r="K13" i="12" s="1"/>
  <c r="E14" i="12"/>
  <c r="G14" i="12" s="1"/>
  <c r="K14" i="12" s="1"/>
  <c r="C16" i="25"/>
  <c r="C7" i="31"/>
  <c r="D78" i="26"/>
  <c r="C105" i="9"/>
  <c r="C103" i="9"/>
  <c r="C102" i="9"/>
  <c r="C101" i="9"/>
  <c r="C91" i="9"/>
  <c r="E9" i="12" l="1"/>
  <c r="C15" i="12"/>
  <c r="K8" i="12"/>
  <c r="C28" i="18"/>
  <c r="C32" i="18" s="1"/>
  <c r="C29" i="9"/>
  <c r="C25" i="9"/>
  <c r="C24" i="9"/>
  <c r="C23" i="9"/>
  <c r="C64" i="15"/>
  <c r="C65" i="15"/>
  <c r="H8" i="11"/>
  <c r="G8" i="11"/>
  <c r="F8" i="11"/>
  <c r="E8" i="11"/>
  <c r="C21" i="15"/>
  <c r="C18" i="15"/>
  <c r="C50" i="26"/>
  <c r="C68" i="21"/>
  <c r="C84" i="14"/>
  <c r="C82" i="15"/>
  <c r="C21" i="19"/>
  <c r="C51" i="26"/>
  <c r="C139" i="14"/>
  <c r="C85" i="14"/>
  <c r="C91" i="15"/>
  <c r="C90" i="15"/>
  <c r="C50" i="15"/>
  <c r="C44" i="15"/>
  <c r="C69" i="19"/>
  <c r="C29" i="19"/>
  <c r="C90" i="9"/>
  <c r="C88" i="9"/>
  <c r="C87" i="9"/>
  <c r="C9" i="31"/>
  <c r="C8" i="31"/>
  <c r="C15" i="31" s="1"/>
  <c r="D26" i="31"/>
  <c r="C61" i="9"/>
  <c r="C34" i="9"/>
  <c r="C15" i="9"/>
  <c r="C7" i="9"/>
  <c r="G9" i="12" l="1"/>
  <c r="E15" i="12"/>
  <c r="D6" i="31"/>
  <c r="D11" i="31" s="1"/>
  <c r="C14" i="31"/>
  <c r="K9" i="12" l="1"/>
  <c r="G15" i="12"/>
  <c r="C8" i="11"/>
  <c r="D27" i="31"/>
  <c r="D13" i="31"/>
  <c r="D17" i="31" s="1"/>
  <c r="C27" i="31"/>
  <c r="C116" i="9"/>
  <c r="C153" i="14"/>
  <c r="C136" i="14"/>
  <c r="C59" i="14"/>
  <c r="C87" i="15"/>
  <c r="C13" i="28"/>
  <c r="D8" i="11" l="1"/>
  <c r="I8" i="11" s="1"/>
  <c r="H6" i="11" l="1"/>
  <c r="H10" i="11"/>
  <c r="C6" i="9" l="1"/>
  <c r="C79" i="9"/>
  <c r="C71" i="9"/>
  <c r="C70" i="9"/>
  <c r="C69" i="9"/>
  <c r="C66" i="9"/>
  <c r="C65" i="9"/>
  <c r="C60" i="9"/>
  <c r="C54" i="9"/>
  <c r="C50" i="9"/>
  <c r="C42" i="9"/>
  <c r="C38" i="9"/>
  <c r="C33" i="9"/>
  <c r="C22" i="9"/>
  <c r="C19" i="9"/>
  <c r="C18" i="9"/>
  <c r="C14" i="9"/>
  <c r="C11" i="9"/>
  <c r="C91" i="14" l="1"/>
  <c r="C88" i="14"/>
  <c r="C65" i="14" s="1"/>
  <c r="C27" i="14"/>
  <c r="C22" i="14"/>
  <c r="C33" i="15"/>
  <c r="C29" i="15"/>
  <c r="C106" i="15"/>
  <c r="D100" i="15" s="1"/>
  <c r="C95" i="15"/>
  <c r="C30" i="19"/>
  <c r="C84" i="15"/>
  <c r="C117" i="15" s="1"/>
  <c r="C56" i="15"/>
  <c r="C34" i="15"/>
  <c r="C30" i="15"/>
  <c r="C15" i="15"/>
  <c r="C14" i="15"/>
  <c r="C11" i="15"/>
  <c r="C10" i="15"/>
  <c r="C39" i="14"/>
  <c r="C38" i="14"/>
  <c r="C33" i="14"/>
  <c r="C28" i="14"/>
  <c r="C24" i="14"/>
  <c r="C23" i="14"/>
  <c r="C17" i="14"/>
  <c r="C16" i="14"/>
  <c r="C12" i="14"/>
  <c r="C11" i="14"/>
  <c r="C7" i="14"/>
  <c r="C6" i="14"/>
  <c r="C57" i="14" s="1"/>
  <c r="C36" i="21"/>
  <c r="C25" i="21"/>
  <c r="C20" i="21"/>
  <c r="C19" i="21"/>
  <c r="C11" i="21"/>
  <c r="C10" i="21"/>
  <c r="C7" i="21"/>
  <c r="C19" i="26"/>
  <c r="C10" i="26"/>
  <c r="C7" i="26"/>
  <c r="C6" i="26"/>
  <c r="C32" i="26" s="1"/>
  <c r="C66" i="26"/>
  <c r="C45" i="26"/>
  <c r="C90" i="21"/>
  <c r="D86" i="21" s="1"/>
  <c r="C84" i="21"/>
  <c r="C76" i="21"/>
  <c r="C75" i="21"/>
  <c r="C72" i="21"/>
  <c r="C69" i="21"/>
  <c r="C61" i="21"/>
  <c r="D148" i="14"/>
  <c r="C112" i="14"/>
  <c r="C103" i="14"/>
  <c r="C135" i="14" s="1"/>
  <c r="C102" i="14"/>
  <c r="C134" i="14" s="1"/>
  <c r="C101" i="14"/>
  <c r="C100" i="14"/>
  <c r="C92" i="14"/>
  <c r="C87" i="14"/>
  <c r="C83" i="14"/>
  <c r="C77" i="14"/>
  <c r="C76" i="14"/>
  <c r="C98" i="15"/>
  <c r="C97" i="15"/>
  <c r="C85" i="15"/>
  <c r="C118" i="15" s="1"/>
  <c r="C83" i="15"/>
  <c r="C23" i="19"/>
  <c r="C78" i="15"/>
  <c r="C76" i="15"/>
  <c r="C7" i="15"/>
  <c r="C59" i="19"/>
  <c r="C40" i="19"/>
  <c r="C25" i="19"/>
  <c r="C20" i="19"/>
  <c r="C14" i="19"/>
  <c r="C13" i="19"/>
  <c r="C124" i="21"/>
  <c r="C45" i="21" l="1"/>
  <c r="D93" i="15"/>
  <c r="C121" i="15"/>
  <c r="C58" i="14"/>
  <c r="D35" i="14"/>
  <c r="D96" i="15"/>
  <c r="D89" i="15"/>
  <c r="D82" i="14"/>
  <c r="D81" i="15"/>
  <c r="C41" i="26"/>
  <c r="C75" i="26"/>
  <c r="C70" i="26"/>
  <c r="C67" i="26"/>
  <c r="C58" i="26"/>
  <c r="C57" i="26"/>
  <c r="C56" i="26"/>
  <c r="C44" i="26"/>
  <c r="C114" i="9" l="1"/>
  <c r="C111" i="9"/>
  <c r="C60" i="14"/>
  <c r="C107" i="9"/>
  <c r="D85" i="9" l="1"/>
  <c r="C78" i="9"/>
  <c r="D68" i="9"/>
  <c r="C61" i="14"/>
  <c r="C48" i="14"/>
  <c r="D41" i="14"/>
  <c r="C47" i="21"/>
  <c r="C39" i="15"/>
  <c r="E15" i="11"/>
  <c r="D22" i="28"/>
  <c r="F15" i="11" s="1"/>
  <c r="F17" i="11" s="1"/>
  <c r="C16" i="21"/>
  <c r="C133" i="14"/>
  <c r="D97" i="14"/>
  <c r="D70" i="21" l="1"/>
  <c r="D39" i="19"/>
  <c r="D19" i="19" l="1"/>
  <c r="C77" i="15"/>
  <c r="C26" i="15"/>
  <c r="D24" i="28"/>
  <c r="G15" i="11" s="1"/>
  <c r="C14" i="28"/>
  <c r="G62" i="15" l="1"/>
  <c r="D4" i="15"/>
  <c r="D12" i="28"/>
  <c r="D15" i="28" s="1"/>
  <c r="D15" i="11" s="1"/>
  <c r="D55" i="15"/>
  <c r="D8" i="28"/>
  <c r="D11" i="28" s="1"/>
  <c r="C25" i="28"/>
  <c r="C15" i="25"/>
  <c r="C19" i="25" s="1"/>
  <c r="C20" i="25"/>
  <c r="C46" i="9"/>
  <c r="C45" i="9"/>
  <c r="C37" i="9"/>
  <c r="C28" i="9"/>
  <c r="F18" i="25" l="1"/>
  <c r="D25" i="28"/>
  <c r="D4" i="9"/>
  <c r="C15" i="11"/>
  <c r="I15" i="11" s="1"/>
  <c r="D14" i="25"/>
  <c r="C87" i="26" l="1"/>
  <c r="C83" i="26"/>
  <c r="C82" i="26"/>
  <c r="H14" i="11"/>
  <c r="C99" i="26"/>
  <c r="D98" i="26" s="1"/>
  <c r="D95" i="26"/>
  <c r="D91" i="26"/>
  <c r="C90" i="26"/>
  <c r="C89" i="26"/>
  <c r="C88" i="26"/>
  <c r="C86" i="26"/>
  <c r="C85" i="26"/>
  <c r="C80" i="26"/>
  <c r="C79" i="26"/>
  <c r="D74" i="26"/>
  <c r="D77" i="26" s="1"/>
  <c r="D68" i="26"/>
  <c r="D65" i="26"/>
  <c r="D63" i="26"/>
  <c r="D61" i="26"/>
  <c r="D59" i="26"/>
  <c r="D55" i="26"/>
  <c r="D52" i="26"/>
  <c r="C84" i="26"/>
  <c r="C81" i="26"/>
  <c r="D37" i="26"/>
  <c r="C24" i="26"/>
  <c r="C33" i="26" s="1"/>
  <c r="C80" i="9"/>
  <c r="C109" i="9" s="1"/>
  <c r="D4" i="14"/>
  <c r="D35" i="21"/>
  <c r="C46" i="21" l="1"/>
  <c r="C106" i="9"/>
  <c r="D49" i="26"/>
  <c r="D54" i="26" s="1"/>
  <c r="D23" i="26"/>
  <c r="C101" i="26"/>
  <c r="D40" i="26"/>
  <c r="D48" i="26" s="1"/>
  <c r="D73" i="26"/>
  <c r="D101" i="26"/>
  <c r="G14" i="11" s="1"/>
  <c r="D4" i="26"/>
  <c r="D93" i="26"/>
  <c r="D31" i="9"/>
  <c r="D107" i="15"/>
  <c r="D52" i="15"/>
  <c r="C14" i="11" l="1"/>
  <c r="D36" i="26"/>
  <c r="D14" i="11" s="1"/>
  <c r="C105" i="26"/>
  <c r="D94" i="26"/>
  <c r="E14" i="11" s="1"/>
  <c r="D105" i="26" l="1"/>
  <c r="D26" i="25" l="1"/>
  <c r="D27" i="25" s="1"/>
  <c r="G16" i="11" s="1"/>
  <c r="D22" i="25"/>
  <c r="D25" i="25" s="1"/>
  <c r="E16" i="11" s="1"/>
  <c r="D21" i="25"/>
  <c r="D16" i="11" s="1"/>
  <c r="D17" i="25" l="1"/>
  <c r="D28" i="25" l="1"/>
  <c r="C16" i="11"/>
  <c r="I16" i="11" s="1"/>
  <c r="I17" i="11" s="1"/>
  <c r="D118" i="21"/>
  <c r="C108" i="9" l="1"/>
  <c r="D68" i="15" l="1"/>
  <c r="D138" i="14" l="1"/>
  <c r="D119" i="9"/>
  <c r="D73" i="9"/>
  <c r="D76" i="9"/>
  <c r="D93" i="9"/>
  <c r="D96" i="9" l="1"/>
  <c r="D4" i="21" l="1"/>
  <c r="C49" i="14"/>
  <c r="D47" i="14" l="1"/>
  <c r="C62" i="14"/>
  <c r="D28" i="21" l="1"/>
  <c r="H13" i="11" l="1"/>
  <c r="D81" i="21"/>
  <c r="C48" i="21"/>
  <c r="C50" i="21" l="1"/>
  <c r="C125" i="21"/>
  <c r="C123" i="21"/>
  <c r="D120" i="21"/>
  <c r="D116" i="21"/>
  <c r="D112" i="21"/>
  <c r="C110" i="21"/>
  <c r="C109" i="21"/>
  <c r="C108" i="21"/>
  <c r="C102" i="21"/>
  <c r="C101" i="21"/>
  <c r="C100" i="21"/>
  <c r="D95" i="21"/>
  <c r="D98" i="21" s="1"/>
  <c r="C111" i="21"/>
  <c r="D83" i="21"/>
  <c r="D79" i="21"/>
  <c r="D74" i="21"/>
  <c r="C107" i="21"/>
  <c r="C105" i="21"/>
  <c r="C106" i="21"/>
  <c r="C104" i="21"/>
  <c r="C103" i="21"/>
  <c r="D57" i="21"/>
  <c r="D52" i="21"/>
  <c r="D33" i="21"/>
  <c r="H12" i="11"/>
  <c r="C84" i="19"/>
  <c r="D83" i="19" s="1"/>
  <c r="D81" i="19"/>
  <c r="C79" i="19"/>
  <c r="C78" i="19"/>
  <c r="D74" i="19"/>
  <c r="C67" i="19"/>
  <c r="C68" i="19"/>
  <c r="C66" i="19"/>
  <c r="C63" i="19"/>
  <c r="C57" i="19"/>
  <c r="C58" i="19"/>
  <c r="C56" i="19"/>
  <c r="D70" i="19"/>
  <c r="D51" i="19"/>
  <c r="D54" i="19" s="1"/>
  <c r="D42" i="19"/>
  <c r="D34" i="19"/>
  <c r="D32" i="19"/>
  <c r="D28" i="19"/>
  <c r="C26" i="19"/>
  <c r="C62" i="19"/>
  <c r="C132" i="14"/>
  <c r="C131" i="14"/>
  <c r="C130" i="14"/>
  <c r="C124" i="14"/>
  <c r="C123" i="14"/>
  <c r="C122" i="14"/>
  <c r="C152" i="14"/>
  <c r="C151" i="14"/>
  <c r="D143" i="14"/>
  <c r="D145" i="14"/>
  <c r="C137" i="14"/>
  <c r="D95" i="14"/>
  <c r="C127" i="14"/>
  <c r="D99" i="14"/>
  <c r="C129" i="14"/>
  <c r="C73" i="14"/>
  <c r="C125" i="14" s="1"/>
  <c r="D117" i="14"/>
  <c r="D120" i="14" s="1"/>
  <c r="D90" i="14"/>
  <c r="D67" i="14"/>
  <c r="D44" i="14"/>
  <c r="D67" i="15"/>
  <c r="D11" i="11" s="1"/>
  <c r="H11" i="11"/>
  <c r="C131" i="15"/>
  <c r="D127" i="15"/>
  <c r="C116" i="15"/>
  <c r="C122" i="15"/>
  <c r="C120" i="15"/>
  <c r="C114" i="15"/>
  <c r="C113" i="15"/>
  <c r="D123" i="15"/>
  <c r="D108" i="15"/>
  <c r="D111" i="15" s="1"/>
  <c r="D86" i="15"/>
  <c r="D88" i="15" s="1"/>
  <c r="D73" i="15"/>
  <c r="D7" i="11"/>
  <c r="C7" i="11"/>
  <c r="D15" i="12"/>
  <c r="F15" i="12"/>
  <c r="H15" i="12"/>
  <c r="I15" i="12"/>
  <c r="J15" i="12"/>
  <c r="C61" i="19"/>
  <c r="D3" i="19"/>
  <c r="C63" i="14" l="1"/>
  <c r="D86" i="14"/>
  <c r="C110" i="9"/>
  <c r="D24" i="19"/>
  <c r="D27" i="19" s="1"/>
  <c r="D77" i="19"/>
  <c r="D80" i="19" s="1"/>
  <c r="C64" i="19"/>
  <c r="C113" i="9"/>
  <c r="C135" i="21"/>
  <c r="D85" i="19"/>
  <c r="D106" i="14"/>
  <c r="D116" i="14" s="1"/>
  <c r="C128" i="14"/>
  <c r="C60" i="19"/>
  <c r="D150" i="14"/>
  <c r="D154" i="14" s="1"/>
  <c r="G12" i="11" s="1"/>
  <c r="C126" i="14"/>
  <c r="D122" i="21"/>
  <c r="D126" i="21" s="1"/>
  <c r="D65" i="21"/>
  <c r="D66" i="21"/>
  <c r="D42" i="21"/>
  <c r="D99" i="21"/>
  <c r="D114" i="21" s="1"/>
  <c r="D51" i="21"/>
  <c r="D13" i="11" s="1"/>
  <c r="D94" i="21"/>
  <c r="C130" i="21"/>
  <c r="C65" i="19"/>
  <c r="D50" i="19"/>
  <c r="D72" i="14"/>
  <c r="D81" i="14" s="1"/>
  <c r="D66" i="14"/>
  <c r="D12" i="11" s="1"/>
  <c r="C12" i="11"/>
  <c r="D130" i="15"/>
  <c r="D133" i="15" s="1"/>
  <c r="G11" i="11" s="1"/>
  <c r="C119" i="15"/>
  <c r="D80" i="15"/>
  <c r="C115" i="15"/>
  <c r="D9" i="19"/>
  <c r="D18" i="19" s="1"/>
  <c r="H9" i="11"/>
  <c r="H17" i="11" s="1"/>
  <c r="D120" i="9"/>
  <c r="I7" i="11"/>
  <c r="D17" i="11" l="1"/>
  <c r="K17" i="11" s="1"/>
  <c r="C125" i="9"/>
  <c r="C120" i="9"/>
  <c r="D121" i="14"/>
  <c r="D141" i="14" s="1"/>
  <c r="D89" i="14"/>
  <c r="C11" i="11"/>
  <c r="C13" i="11"/>
  <c r="G13" i="11"/>
  <c r="G17" i="11" s="1"/>
  <c r="D55" i="19"/>
  <c r="D72" i="19" s="1"/>
  <c r="D73" i="19" s="1"/>
  <c r="D86" i="19" s="1"/>
  <c r="C137" i="15"/>
  <c r="C159" i="14"/>
  <c r="D73" i="21"/>
  <c r="D115" i="21" s="1"/>
  <c r="D130" i="21" s="1"/>
  <c r="C86" i="19"/>
  <c r="D112" i="15"/>
  <c r="D125" i="15" s="1"/>
  <c r="D126" i="15" s="1"/>
  <c r="G9" i="11"/>
  <c r="D142" i="14" l="1"/>
  <c r="E12" i="11" s="1"/>
  <c r="I12" i="11" s="1"/>
  <c r="C17" i="11"/>
  <c r="I14" i="11"/>
  <c r="E13" i="11"/>
  <c r="I13" i="11" s="1"/>
  <c r="E9" i="11"/>
  <c r="D137" i="15"/>
  <c r="E11" i="11"/>
  <c r="I11" i="11" s="1"/>
  <c r="D19" i="12"/>
  <c r="I6" i="11"/>
  <c r="I9" i="11" l="1"/>
  <c r="E17" i="11"/>
  <c r="I10" i="11"/>
  <c r="K7" i="11" s="1"/>
  <c r="D159" i="14"/>
  <c r="K11" i="11"/>
  <c r="C325" i="6"/>
  <c r="C319" i="6"/>
  <c r="C318" i="6"/>
  <c r="C51" i="6"/>
  <c r="C50" i="6"/>
  <c r="C49" i="6"/>
  <c r="G20" i="7"/>
  <c r="G19" i="7"/>
  <c r="E17" i="7"/>
  <c r="C17" i="7"/>
  <c r="E16" i="7"/>
  <c r="G16" i="7" s="1"/>
  <c r="C7" i="7"/>
  <c r="G7" i="7" s="1"/>
  <c r="C6" i="7"/>
  <c r="G6" i="7" s="1"/>
  <c r="C5" i="7"/>
  <c r="C18" i="7" s="1"/>
  <c r="G18" i="7" s="1"/>
  <c r="E4" i="7"/>
  <c r="C4" i="7"/>
  <c r="E3" i="7"/>
  <c r="C3" i="7"/>
  <c r="C372" i="6"/>
  <c r="C373" i="6" s="1"/>
  <c r="C368" i="6"/>
  <c r="C363" i="6"/>
  <c r="C362" i="6"/>
  <c r="C360" i="6"/>
  <c r="C369" i="6" s="1"/>
  <c r="C359" i="6"/>
  <c r="C349" i="6"/>
  <c r="C352" i="6" s="1"/>
  <c r="C348" i="6"/>
  <c r="C332" i="6"/>
  <c r="C333" i="6" s="1"/>
  <c r="C329" i="6"/>
  <c r="C330" i="6" s="1"/>
  <c r="C320" i="6"/>
  <c r="C322" i="6" s="1"/>
  <c r="C314" i="6"/>
  <c r="C313" i="6"/>
  <c r="C304" i="6"/>
  <c r="C305" i="6" s="1"/>
  <c r="C303" i="6"/>
  <c r="C291" i="6"/>
  <c r="C292" i="6" s="1"/>
  <c r="C282" i="6"/>
  <c r="C281" i="6"/>
  <c r="C273" i="6"/>
  <c r="C271" i="6"/>
  <c r="C270" i="6"/>
  <c r="C268" i="6"/>
  <c r="C267" i="6"/>
  <c r="C261" i="6"/>
  <c r="C263" i="6" s="1"/>
  <c r="C259" i="6"/>
  <c r="C258" i="6"/>
  <c r="C285" i="6" s="1"/>
  <c r="C257" i="6"/>
  <c r="C245" i="6"/>
  <c r="C248" i="6" s="1"/>
  <c r="C244" i="6"/>
  <c r="C231" i="6"/>
  <c r="C232" i="6" s="1"/>
  <c r="C220" i="6"/>
  <c r="C219" i="6"/>
  <c r="C209" i="6"/>
  <c r="C206" i="6"/>
  <c r="C205" i="6"/>
  <c r="C202" i="6"/>
  <c r="C201" i="6"/>
  <c r="C195" i="6"/>
  <c r="C222" i="6" s="1"/>
  <c r="C194" i="6"/>
  <c r="C197" i="6" s="1"/>
  <c r="C191" i="6"/>
  <c r="C190" i="6"/>
  <c r="C224" i="6" s="1"/>
  <c r="C189" i="6"/>
  <c r="C176" i="6"/>
  <c r="C166" i="6"/>
  <c r="C174" i="6" s="1"/>
  <c r="C157" i="6"/>
  <c r="C158" i="6" s="1"/>
  <c r="C153" i="6"/>
  <c r="C148" i="6"/>
  <c r="C150" i="6" s="1"/>
  <c r="C147" i="6"/>
  <c r="C145" i="6"/>
  <c r="C144" i="6"/>
  <c r="C134" i="6"/>
  <c r="C137" i="6" s="1"/>
  <c r="C133" i="6"/>
  <c r="C120" i="6"/>
  <c r="C119" i="6"/>
  <c r="C102" i="6"/>
  <c r="C103" i="6" s="1"/>
  <c r="C101" i="6"/>
  <c r="C87" i="6"/>
  <c r="C88" i="6" s="1"/>
  <c r="C84" i="6"/>
  <c r="C85" i="6" s="1"/>
  <c r="C75" i="6"/>
  <c r="C74" i="6"/>
  <c r="C62" i="6"/>
  <c r="C60" i="6"/>
  <c r="C59" i="6"/>
  <c r="C54" i="6"/>
  <c r="C55" i="6" s="1"/>
  <c r="C45" i="6"/>
  <c r="C44" i="6"/>
  <c r="C43" i="6"/>
  <c r="C42" i="6"/>
  <c r="C41" i="6"/>
  <c r="C29" i="6"/>
  <c r="C79" i="6" s="1"/>
  <c r="C20" i="6"/>
  <c r="C17" i="6"/>
  <c r="C15" i="6"/>
  <c r="C12" i="6"/>
  <c r="C21" i="6" s="1"/>
  <c r="C10" i="6"/>
  <c r="C9" i="6"/>
  <c r="C6" i="6"/>
  <c r="G3" i="7" l="1"/>
  <c r="C53" i="6"/>
  <c r="G17" i="7"/>
  <c r="K15" i="12"/>
  <c r="C262" i="6"/>
  <c r="C284" i="6" s="1"/>
  <c r="C287" i="6" s="1"/>
  <c r="C288" i="6" s="1"/>
  <c r="G4" i="7"/>
  <c r="B8" i="7"/>
  <c r="B21" i="7" s="1"/>
  <c r="F21" i="7" s="1"/>
  <c r="C19" i="6"/>
  <c r="C25" i="6" s="1"/>
  <c r="C48" i="6"/>
  <c r="C47" i="6"/>
  <c r="C121" i="6"/>
  <c r="C122" i="6" s="1"/>
  <c r="B4" i="7"/>
  <c r="C149" i="6"/>
  <c r="C154" i="6" s="1"/>
  <c r="C155" i="6" s="1"/>
  <c r="B5" i="7"/>
  <c r="C321" i="6"/>
  <c r="C326" i="6" s="1"/>
  <c r="C327" i="6" s="1"/>
  <c r="B17" i="7"/>
  <c r="C364" i="6"/>
  <c r="C365" i="6" s="1"/>
  <c r="C370" i="6" s="1"/>
  <c r="C52" i="6"/>
  <c r="G24" i="7"/>
  <c r="B7" i="7"/>
  <c r="C18" i="6"/>
  <c r="C56" i="6"/>
  <c r="C175" i="6"/>
  <c r="C179" i="6" s="1"/>
  <c r="C196" i="6"/>
  <c r="C223" i="6" s="1"/>
  <c r="C227" i="6" s="1"/>
  <c r="C228" i="6" s="1"/>
  <c r="C46" i="6"/>
  <c r="C77" i="6" s="1"/>
  <c r="G5" i="7"/>
  <c r="G11" i="7" s="1"/>
  <c r="C10" i="1"/>
  <c r="C6" i="1"/>
  <c r="F8" i="7" l="1"/>
  <c r="C159" i="6"/>
  <c r="D4" i="7"/>
  <c r="D18" i="7"/>
  <c r="D5" i="7"/>
  <c r="C334" i="6"/>
  <c r="D6" i="7"/>
  <c r="D19" i="7"/>
  <c r="C293" i="6"/>
  <c r="D20" i="7"/>
  <c r="D7" i="7"/>
  <c r="C374" i="6"/>
  <c r="D17" i="7"/>
  <c r="F17" i="7" s="1"/>
  <c r="C234" i="6"/>
  <c r="F5" i="7"/>
  <c r="F4" i="7"/>
  <c r="B18" i="7"/>
  <c r="C78" i="6"/>
  <c r="B6" i="7"/>
  <c r="B19" i="7" s="1"/>
  <c r="C81" i="6"/>
  <c r="C82" i="6" s="1"/>
  <c r="B3" i="7"/>
  <c r="B20" i="7"/>
  <c r="F20" i="7" s="1"/>
  <c r="F7" i="7"/>
  <c r="C12" i="1"/>
  <c r="F19" i="7" l="1"/>
  <c r="F18" i="7"/>
  <c r="C89" i="6"/>
  <c r="C377" i="6" s="1"/>
  <c r="D3" i="7"/>
  <c r="D11" i="7" s="1"/>
  <c r="D16" i="7"/>
  <c r="D24" i="7" s="1"/>
  <c r="F6" i="7"/>
  <c r="B16" i="7"/>
  <c r="B11" i="7"/>
  <c r="C318" i="1"/>
  <c r="C337" i="6" l="1"/>
  <c r="F3" i="7"/>
  <c r="F11" i="7" s="1"/>
  <c r="H11" i="7" s="1"/>
  <c r="B24" i="7"/>
  <c r="F16" i="7"/>
  <c r="F24" i="7" s="1"/>
  <c r="H24" i="7" s="1"/>
  <c r="C353" i="1" l="1"/>
  <c r="C166" i="1"/>
  <c r="G22" i="2" l="1"/>
  <c r="D22" i="2"/>
  <c r="G21" i="2"/>
  <c r="D21" i="2"/>
  <c r="D20" i="2"/>
  <c r="E19" i="2"/>
  <c r="D19" i="2"/>
  <c r="C19" i="2"/>
  <c r="E18" i="2"/>
  <c r="G18" i="2" s="1"/>
  <c r="D18" i="2"/>
  <c r="D9" i="2"/>
  <c r="C9" i="2"/>
  <c r="G9" i="2" s="1"/>
  <c r="C8" i="2"/>
  <c r="G8" i="2" s="1"/>
  <c r="C7" i="2"/>
  <c r="C20" i="2" s="1"/>
  <c r="G20" i="2" s="1"/>
  <c r="E6" i="2"/>
  <c r="C6" i="2"/>
  <c r="E5" i="2"/>
  <c r="C5" i="2"/>
  <c r="C366" i="1"/>
  <c r="C367" i="1" s="1"/>
  <c r="C362" i="1"/>
  <c r="C357" i="1"/>
  <c r="C358" i="1" s="1"/>
  <c r="C356" i="1"/>
  <c r="C354" i="1"/>
  <c r="C363" i="1" s="1"/>
  <c r="C343" i="1"/>
  <c r="C346" i="1" s="1"/>
  <c r="C342" i="1"/>
  <c r="C326" i="1"/>
  <c r="C327" i="1" s="1"/>
  <c r="C323" i="1"/>
  <c r="C324" i="1" s="1"/>
  <c r="C319" i="1"/>
  <c r="C315" i="1"/>
  <c r="C317" i="1" s="1"/>
  <c r="C314" i="1"/>
  <c r="C313" i="1"/>
  <c r="C304" i="1"/>
  <c r="C305" i="1" s="1"/>
  <c r="C303" i="1"/>
  <c r="C291" i="1"/>
  <c r="C292" i="1" s="1"/>
  <c r="C282" i="1"/>
  <c r="C281" i="1"/>
  <c r="C273" i="1"/>
  <c r="C271" i="1"/>
  <c r="C270" i="1"/>
  <c r="C268" i="1"/>
  <c r="C267" i="1"/>
  <c r="C261" i="1"/>
  <c r="C262" i="1" s="1"/>
  <c r="C259" i="1"/>
  <c r="C258" i="1"/>
  <c r="C285" i="1" s="1"/>
  <c r="C257" i="1"/>
  <c r="C245" i="1"/>
  <c r="C248" i="1" s="1"/>
  <c r="C244" i="1"/>
  <c r="C231" i="1"/>
  <c r="C232" i="1" s="1"/>
  <c r="C220" i="1"/>
  <c r="C219" i="1"/>
  <c r="C209" i="1"/>
  <c r="C206" i="1"/>
  <c r="C205" i="1"/>
  <c r="C202" i="1"/>
  <c r="C201" i="1"/>
  <c r="C195" i="1"/>
  <c r="C222" i="1" s="1"/>
  <c r="C194" i="1"/>
  <c r="C196" i="1" s="1"/>
  <c r="C191" i="1"/>
  <c r="C190" i="1"/>
  <c r="C224" i="1" s="1"/>
  <c r="C189" i="1"/>
  <c r="C176" i="1"/>
  <c r="C174" i="1"/>
  <c r="C175" i="1"/>
  <c r="C157" i="1"/>
  <c r="C158" i="1" s="1"/>
  <c r="C153" i="1"/>
  <c r="C148" i="1"/>
  <c r="C149" i="1" s="1"/>
  <c r="C147" i="1"/>
  <c r="C145" i="1"/>
  <c r="C154" i="1" s="1"/>
  <c r="C144" i="1"/>
  <c r="C134" i="1"/>
  <c r="C137" i="1" s="1"/>
  <c r="C133" i="1"/>
  <c r="C120" i="1"/>
  <c r="C119" i="1"/>
  <c r="C102" i="1"/>
  <c r="C103" i="1" s="1"/>
  <c r="C101" i="1"/>
  <c r="C87" i="1"/>
  <c r="C88" i="1" s="1"/>
  <c r="C84" i="1"/>
  <c r="C85" i="1" s="1"/>
  <c r="C75" i="1"/>
  <c r="C74" i="1"/>
  <c r="C62" i="1"/>
  <c r="C60" i="1"/>
  <c r="C59" i="1"/>
  <c r="C54" i="1"/>
  <c r="C56" i="1" s="1"/>
  <c r="C53" i="1"/>
  <c r="C52" i="1"/>
  <c r="C45" i="1"/>
  <c r="C44" i="1"/>
  <c r="C43" i="1"/>
  <c r="C42" i="1"/>
  <c r="C41" i="1"/>
  <c r="C29" i="1"/>
  <c r="C79" i="1" s="1"/>
  <c r="C20" i="1"/>
  <c r="C17" i="1"/>
  <c r="C15" i="1"/>
  <c r="C21" i="1"/>
  <c r="C9" i="1"/>
  <c r="C47" i="1" l="1"/>
  <c r="B9" i="2"/>
  <c r="B22" i="2" s="1"/>
  <c r="G19" i="2"/>
  <c r="G26" i="2" s="1"/>
  <c r="C179" i="1"/>
  <c r="B8" i="2" s="1"/>
  <c r="C19" i="1"/>
  <c r="C48" i="1"/>
  <c r="C223" i="1"/>
  <c r="C227" i="1" s="1"/>
  <c r="C18" i="1"/>
  <c r="C121" i="1"/>
  <c r="C316" i="1"/>
  <c r="C320" i="1" s="1"/>
  <c r="C321" i="1" s="1"/>
  <c r="D7" i="2" s="1"/>
  <c r="F22" i="2"/>
  <c r="B6" i="2"/>
  <c r="B7" i="2"/>
  <c r="B19" i="2"/>
  <c r="F19" i="2" s="1"/>
  <c r="G6" i="2"/>
  <c r="F9" i="2"/>
  <c r="B10" i="2"/>
  <c r="G5" i="2"/>
  <c r="C13" i="2"/>
  <c r="G7" i="2"/>
  <c r="D26" i="2"/>
  <c r="C122" i="1"/>
  <c r="C284" i="1"/>
  <c r="C287" i="1" s="1"/>
  <c r="C25" i="1"/>
  <c r="C46" i="1"/>
  <c r="C77" i="1" s="1"/>
  <c r="C55" i="1"/>
  <c r="C78" i="1" s="1"/>
  <c r="C150" i="1"/>
  <c r="C155" i="1" s="1"/>
  <c r="C197" i="1"/>
  <c r="C263" i="1"/>
  <c r="C359" i="1"/>
  <c r="C228" i="1" l="1"/>
  <c r="C234" i="1" s="1"/>
  <c r="B5" i="2"/>
  <c r="C288" i="1"/>
  <c r="C293" i="1" s="1"/>
  <c r="B18" i="2"/>
  <c r="F18" i="2" s="1"/>
  <c r="C328" i="1"/>
  <c r="B21" i="2"/>
  <c r="F21" i="2" s="1"/>
  <c r="C159" i="1"/>
  <c r="D6" i="2"/>
  <c r="F6" i="2" s="1"/>
  <c r="B20" i="2"/>
  <c r="F20" i="2" s="1"/>
  <c r="F7" i="2"/>
  <c r="C364" i="1"/>
  <c r="C368" i="1" s="1"/>
  <c r="D8" i="2"/>
  <c r="F8" i="2" s="1"/>
  <c r="B23" i="2"/>
  <c r="F10" i="2"/>
  <c r="B13" i="2"/>
  <c r="G13" i="2"/>
  <c r="C81" i="1"/>
  <c r="C82" i="1" s="1"/>
  <c r="C89" i="1" s="1"/>
  <c r="C371" i="1" l="1"/>
  <c r="D5" i="2"/>
  <c r="F23" i="2"/>
  <c r="F26" i="2" s="1"/>
  <c r="H26" i="2" s="1"/>
  <c r="B26" i="2"/>
  <c r="C331" i="1"/>
  <c r="D13" i="2" l="1"/>
  <c r="F5" i="2"/>
  <c r="F13" i="2" s="1"/>
  <c r="H13" i="2" s="1"/>
</calcChain>
</file>

<file path=xl/sharedStrings.xml><?xml version="1.0" encoding="utf-8"?>
<sst xmlns="http://schemas.openxmlformats.org/spreadsheetml/2006/main" count="2351" uniqueCount="839">
  <si>
    <t>Kiadások</t>
  </si>
  <si>
    <t>Gyermeklánc óvoda</t>
  </si>
  <si>
    <t>Rovat</t>
  </si>
  <si>
    <t>Kiadási jogcím</t>
  </si>
  <si>
    <t>Összeg</t>
  </si>
  <si>
    <t>K1101</t>
  </si>
  <si>
    <t xml:space="preserve"> 1 fő óvodaped. 08.31-ig pályázat- 2.833.600 Ft; 1 fő óvodaped.09.01-től -1.000.000 Ft</t>
  </si>
  <si>
    <t>Részmunkaidős közalk. alapilletm. (2 fő 4 órába)</t>
  </si>
  <si>
    <t>Vezetői pótlék (1 fő óvodavezető)</t>
  </si>
  <si>
    <t>Vezetői pótlék (1fő óvodavezető-helyettes, 1 fő telephelyvezető)</t>
  </si>
  <si>
    <t>Nehéz körülmények miatti pótlék (A 326/2013. Korm.r.(VIII.30.)16. § 8.bek. 32.§ 6. bek. Nehéz körülmények között végzett munkájért járó pótlék) dajkák, ped.asszisz., udvaros</t>
  </si>
  <si>
    <t>Kompenzáció 2017. 12.hó 3.§.(2).bek.és (4).alapján</t>
  </si>
  <si>
    <t>K1106</t>
  </si>
  <si>
    <t>K1109</t>
  </si>
  <si>
    <t>Közlekedési ktg.térítés (Rostásné)</t>
  </si>
  <si>
    <t>K1110</t>
  </si>
  <si>
    <t>Közalk.egyéb ktg.tér. - telefon magáncélú haszn.</t>
  </si>
  <si>
    <t>Bankszámlahj. (01-08-ig 24 fő,09-12ig 22 fő 1.000 Ft/fő/hó)+Nyitnikék 3 fő)</t>
  </si>
  <si>
    <t>K1113</t>
  </si>
  <si>
    <t>Egyéb munkavégz.-hez kapcs.jutt. (belsős megbízási díj: tehetséggondozás 600000Ft =6fő*10000Ft/hó)+(BTMN 2fő 380 000Ft/ 9,5hó)</t>
  </si>
  <si>
    <t>Krupáné, Sztrinkó T. 15.000 Ft/hó      Mesterné: 12.000 Ft</t>
  </si>
  <si>
    <t>K122</t>
  </si>
  <si>
    <t>Külsős megbízási díj (Nasz Júlcsi 15000Ft/hó * 9,5 hó,Katus A.  66000Ft/hó*9,5hó SNI-ek fejl.;  Komárominé 24000 Ft/hó*9,5Hó</t>
  </si>
  <si>
    <t>K1 Személyi juttatások:</t>
  </si>
  <si>
    <t xml:space="preserve">K2  </t>
  </si>
  <si>
    <t>Szoc.hj. adó (illetmények, pótlékok, megb.díj)</t>
  </si>
  <si>
    <t>K2</t>
  </si>
  <si>
    <t>szoc.hj. adó (kompenzáció)</t>
  </si>
  <si>
    <t>jubileumi jutalom ( ( 30 év és 20 év után)szoc.hó</t>
  </si>
  <si>
    <t>EHO (telefon magáncélú haszn.)</t>
  </si>
  <si>
    <t>Munkáltató által fiz. SZJA (telefon magánc.haszn.)</t>
  </si>
  <si>
    <t>Rehabilitációs hj.</t>
  </si>
  <si>
    <t>K2 Munkaadót terhelő járulékok:</t>
  </si>
  <si>
    <t>K3111</t>
  </si>
  <si>
    <t>Gyógyszer (lázcsillapító, kötszerek)</t>
  </si>
  <si>
    <t>K3112</t>
  </si>
  <si>
    <t>Könyv</t>
  </si>
  <si>
    <t>folyóirat, kötelező dokumentumokhoz segédanyag vás.</t>
  </si>
  <si>
    <t>K351</t>
  </si>
  <si>
    <t>Műk.célú előzetes felszámított ÁFA 5%</t>
  </si>
  <si>
    <t>K3116</t>
  </si>
  <si>
    <r>
      <rPr>
        <u/>
        <sz val="11"/>
        <color theme="1"/>
        <rFont val="Calibri"/>
        <family val="2"/>
        <charset val="238"/>
        <scheme val="minor"/>
      </rPr>
      <t>Egyéb szakmai anyag</t>
    </r>
    <r>
      <rPr>
        <sz val="11"/>
        <color theme="1"/>
        <rFont val="Calibri"/>
        <family val="2"/>
        <scheme val="minor"/>
      </rPr>
      <t>: udvari játékok (homokozó, kerti szerszámok, tandem, roller)</t>
    </r>
  </si>
  <si>
    <t>Sportszerek (labda, kötél, egyensúlyzó, hinta stb.)</t>
  </si>
  <si>
    <t>K3117</t>
  </si>
  <si>
    <t>Vegyszer (fertőtlenítő, tetűírtószer)</t>
  </si>
  <si>
    <t>K3122</t>
  </si>
  <si>
    <t>Irodaszer</t>
  </si>
  <si>
    <t>Nyomtatványok</t>
  </si>
  <si>
    <t>K3123</t>
  </si>
  <si>
    <t>Hajtó- és kenőanyag (fűnyíróhoz)</t>
  </si>
  <si>
    <t>K3124</t>
  </si>
  <si>
    <t>Munkaruha és védőruha (27 fő x 10.000 Ft/fő</t>
  </si>
  <si>
    <t>K3126</t>
  </si>
  <si>
    <t>Mindazok amelyek nem szakmai anyag (ágyneműk, étk.-hez szükséges eszközök, wc-k cseréje több óvodában, névváltozás miatti bélyegzők névtábla)</t>
  </si>
  <si>
    <t>Tisztítószerek 8 csoport x 50.000 Ft/csop.)</t>
  </si>
  <si>
    <t>Egyéb készletbesz. (szerszámok, alkatrészek, kuka stb.)</t>
  </si>
  <si>
    <t>Anyagvásárlás (Radnóti u.-i Batthyány u.-i )</t>
  </si>
  <si>
    <t>Műk.célú előzetesen felszámított Áfa (27%)</t>
  </si>
  <si>
    <t>Készletbeszerzés, anyagvás. összesen:</t>
  </si>
  <si>
    <t>K3211</t>
  </si>
  <si>
    <t>Internetelőfizetés (Radnóti u. 5000 Ft/hó, Batthyány u.3000 Ft/hó)</t>
  </si>
  <si>
    <t>K3213</t>
  </si>
  <si>
    <t>Informatikai szolg. (rendszergazda 15000 Ft/hó, EPER 5400 Ft/hó ; Mezasoft átalány 2200 Ft/hó)</t>
  </si>
  <si>
    <t>K3221</t>
  </si>
  <si>
    <t>Telefon (22000/hó x 12 hó)( frekvencia díj riasztóhoz 1050 Ft/n.év)</t>
  </si>
  <si>
    <t>Műk.célú előzetesen felszámított Áfa (18%)</t>
  </si>
  <si>
    <t>Kommunikációs szolg.összesen:</t>
  </si>
  <si>
    <t>K3311</t>
  </si>
  <si>
    <t>Gázenergia</t>
  </si>
  <si>
    <t>K3312</t>
  </si>
  <si>
    <t>Villamosenergia</t>
  </si>
  <si>
    <t>K3313</t>
  </si>
  <si>
    <t>Víz- és csatornadíj</t>
  </si>
  <si>
    <t>Közüzemi díjak összesen:</t>
  </si>
  <si>
    <t>K332</t>
  </si>
  <si>
    <t>Vásárolt élelmezés                                                                                               (166fő*107 nap*661 ft)+(70 fő*53 nap*661  ft)+(150fő* 73 nap*731 ft)</t>
  </si>
  <si>
    <t xml:space="preserve">K351 </t>
  </si>
  <si>
    <t>Áfa</t>
  </si>
  <si>
    <t>Összes vásárolt élelmezés</t>
  </si>
  <si>
    <t>K334</t>
  </si>
  <si>
    <t>Karbantartás, kisjavítás (Radnóti u.-i óvoda)</t>
  </si>
  <si>
    <t>Karbantartás, kisjavítás (Batthyány u.-i óvoda) - udvari játékok</t>
  </si>
  <si>
    <t>Karbantartás, kisjavítás összesen:</t>
  </si>
  <si>
    <t>K336</t>
  </si>
  <si>
    <t>Üzemegészségügy (27+3 nyitnikék fő x 3.300 Ft/fő) áfamentes</t>
  </si>
  <si>
    <t>Szakmai tevékenységet segítő szolg. összesen:</t>
  </si>
  <si>
    <t>K337</t>
  </si>
  <si>
    <t>Poroltó készülékek vizsgálata</t>
  </si>
  <si>
    <t>Bankköltség (áfamentes)</t>
  </si>
  <si>
    <t>K3371</t>
  </si>
  <si>
    <t>Postabélyeg (áfamentes)</t>
  </si>
  <si>
    <t>K3376</t>
  </si>
  <si>
    <t>Kéményseprés, szemétszállítás</t>
  </si>
  <si>
    <t>K3377</t>
  </si>
  <si>
    <t>Rágcsálóírtás, rovarírtás (áfamentes)</t>
  </si>
  <si>
    <t>K3379</t>
  </si>
  <si>
    <t>Kamerarendszer karbantartás</t>
  </si>
  <si>
    <t>Riasztó figyelés (Radnóti u., Batthyány u.)</t>
  </si>
  <si>
    <t>Udvari játékok felülvizsgálata</t>
  </si>
  <si>
    <t>terembérlet,  erdei óvoda</t>
  </si>
  <si>
    <t>Lencse A. 24000 Ft/hó*9,5; szakmai előadó díja</t>
  </si>
  <si>
    <t>Üvegezés</t>
  </si>
  <si>
    <t>Egyéb szolgáltatások összesen:</t>
  </si>
  <si>
    <t>K341</t>
  </si>
  <si>
    <t>Belföldi kiküldetés ( pedagógus továbbképzés , szakmai konfer.,Vaskiné ,  továbbképzések )</t>
  </si>
  <si>
    <t>ÖSSZESEN :        Műk.célú előzetesen felszámított Áfa (18%)</t>
  </si>
  <si>
    <t>Műk.célú előzetesen felszámított Áfa (5%)</t>
  </si>
  <si>
    <t>K355</t>
  </si>
  <si>
    <t>Egyéb dologi kiadás (konferenciák, továbbképzés, pályázati nevezési díjak) (áfamentes)   ( Jacsó Csilla továbbképzés 120 000Ft , Lukácsné Szabó T. 60000 Ft Vaskiné továbbképzés 50 000Ft, egyéb 80 000 Ft)</t>
  </si>
  <si>
    <t>Egyéb dologi kiadások összesen:</t>
  </si>
  <si>
    <t>K3 Dologi kiadások:</t>
  </si>
  <si>
    <t>K64</t>
  </si>
  <si>
    <t>Egyéb tárgyi eszközök beszerzése, létesítése(PANDA 10000 Ft/gép (9+2 nyitnikék)</t>
  </si>
  <si>
    <t>K67</t>
  </si>
  <si>
    <t>Beruházási célú előzetesen felszámított áfa</t>
  </si>
  <si>
    <t xml:space="preserve">K6 Beruházások </t>
  </si>
  <si>
    <t>K71</t>
  </si>
  <si>
    <t>Ingatlanok felújítása (Radnóti u.óvoda 2 csoport közös wc felújítása)</t>
  </si>
  <si>
    <t>K74</t>
  </si>
  <si>
    <t>Felújítás célú előzetesen felszámított ÁFA</t>
  </si>
  <si>
    <t>K7 Felújítások:</t>
  </si>
  <si>
    <t>Jh.-i óvodák - Óvodai nevelés kiadásai mindösszesen:</t>
  </si>
  <si>
    <t>Nyitnikék Gyermekház</t>
  </si>
  <si>
    <t>2 fő szakmai munkatárs; 1 fő részmunkaidős</t>
  </si>
  <si>
    <t>k1101</t>
  </si>
  <si>
    <t>Vezetői pótlék 1 fő</t>
  </si>
  <si>
    <t xml:space="preserve">Szoc.hj. adó </t>
  </si>
  <si>
    <t>K311</t>
  </si>
  <si>
    <t>Szakmai anyagok beszerzése</t>
  </si>
  <si>
    <t>K312</t>
  </si>
  <si>
    <t>Üzemeltetési anyagok beszerzése</t>
  </si>
  <si>
    <t>Munkaruha</t>
  </si>
  <si>
    <t>Kezo ált.karbant.díj 2.700 Ft/hó</t>
  </si>
  <si>
    <t>Villamos energia</t>
  </si>
  <si>
    <t>Gázdíj</t>
  </si>
  <si>
    <t>Víz és csatornadíj</t>
  </si>
  <si>
    <t>Vásárolt élelmezés (18%)</t>
  </si>
  <si>
    <t>Vásárolt élelmezés (27%)</t>
  </si>
  <si>
    <t>Karbantartási díj</t>
  </si>
  <si>
    <t>szakmai tev.segítő szolg. (üzemorvos)</t>
  </si>
  <si>
    <t>Kéményseprés (09.01.-től)</t>
  </si>
  <si>
    <t>szemétszállítás (09.01.-től)</t>
  </si>
  <si>
    <t>Rágcsálóírtás (09.01-től)</t>
  </si>
  <si>
    <t>Kiküldetés</t>
  </si>
  <si>
    <t>Nyitnikék Gyerekház  kiadásai mindösszesen:</t>
  </si>
  <si>
    <t>Kéleshalom tagóvoda (08.31-ig)</t>
  </si>
  <si>
    <t xml:space="preserve">Közalk.alapilletménye (2 fő óvónő, 1 fő dajka) </t>
  </si>
  <si>
    <t>Tagóvoda vezetői pótlék (1 fő)</t>
  </si>
  <si>
    <t>Nehéz körülmények miatti pótlék (A 326/2013. Korm.r.(VIII.30.)16. § 8.bek. 32.§ 6. bek. Nehéz körülmények között végzett munkájért járó pótlék)</t>
  </si>
  <si>
    <t>Közlekedési ktg.térítés ( Suták Zsuzsanna, Molnár Erzsébet)</t>
  </si>
  <si>
    <t>Bankszámlahj. (3 fő, 1.000 Ft/fő/hó)</t>
  </si>
  <si>
    <t>Szoc.hj. adó (illetmények, pótlékok)</t>
  </si>
  <si>
    <t>Szakmai ag. besz. (homokozó eszközök, játékok, sport eszközök stb.)</t>
  </si>
  <si>
    <t>Munkaruha és védőruha (3 fő x 10.000 Ft/fő)</t>
  </si>
  <si>
    <t>Tisztítószerek (1 csoport x 50.000 Ft)</t>
  </si>
  <si>
    <t>Egyéb készletbesz. (konyhai eszközök, tisztasági festésés és parketta csiszolás anyag kt. stb.)</t>
  </si>
  <si>
    <t>Telefon (500 Ft/hó x 12 hó)</t>
  </si>
  <si>
    <t xml:space="preserve">Vásárolt élelmezés   (15fő*107nap*661)( 10fő 31nap*661) </t>
  </si>
  <si>
    <t>Vásárolt élelmezés összesen</t>
  </si>
  <si>
    <t>Üzemegészségügy (3 fő x 3.300 Ft/fő) (áfamentes)</t>
  </si>
  <si>
    <t>Összes Áfa</t>
  </si>
  <si>
    <t>Egyéb tárgyi eszközök beszerzése, létesítése( hűtőszekrény, cd-s lejátszó)</t>
  </si>
  <si>
    <t>Kéleshalomi tagóvoda kiadásai mindösszesen:</t>
  </si>
  <si>
    <t>Család - és Gyermekjóléti központ</t>
  </si>
  <si>
    <t>Közalk.alapilletménye (1fő szakmai vezető, 3 fő esetmenedzser és tanácsadó; 1 fő esetmenedzser 5 órában )</t>
  </si>
  <si>
    <t>Turcsányi M. bére -140.000Ft/hó</t>
  </si>
  <si>
    <t>összevont ágazati pótlék 257/200.(XII.26.) korm.rend. 5.sz.mell.</t>
  </si>
  <si>
    <t>Vezetői pótlék (1 fő szakmai vezető) ( 257/2000.(XII.26.) Korm.rendelet 4.sz. mell.</t>
  </si>
  <si>
    <t>Zámbó Judit - 25.000 Ft/hó</t>
  </si>
  <si>
    <t>K1104</t>
  </si>
  <si>
    <t>Készenléti pótlék</t>
  </si>
  <si>
    <t>Jubileumi jutalom 30 éves</t>
  </si>
  <si>
    <t>Közlekedési ktg.térítés (Szalonnás Laura)</t>
  </si>
  <si>
    <t>Bankszámlahj. (5 fő, 1.000 Ft/fő/hó)</t>
  </si>
  <si>
    <t>jubileumi jutalom szoc.h.j.adó</t>
  </si>
  <si>
    <t>Könyvek szakkönyvek (5% áfa)</t>
  </si>
  <si>
    <t xml:space="preserve"> pályázat 125.000 Ft</t>
  </si>
  <si>
    <t>üzemanyag</t>
  </si>
  <si>
    <t>Munkaruha és védőruha (5 fő x 10.000 Ft/fő + gumikesztyű törlőkendő stb. 40 000Ft)</t>
  </si>
  <si>
    <t>Tisztítószerek</t>
  </si>
  <si>
    <t>Anyagvásárlás karbantartáshoz( férfi wc kialakítása)</t>
  </si>
  <si>
    <t xml:space="preserve">Internetelőfizetés (Dózsa György u. 3000 Ft/hó )                                                            </t>
  </si>
  <si>
    <t>Informatikai szolgáltatás (7500 Ft/hó)</t>
  </si>
  <si>
    <t>Telefon (3*2200 Ft/hó x 12 hó)vodafon, frekvencia díj 1040Ft/n.év(-50%)</t>
  </si>
  <si>
    <t xml:space="preserve">Karbantartás, kisjavítás </t>
  </si>
  <si>
    <t>Gépjárművel kapcs. (gumiszerelés, egyéb)</t>
  </si>
  <si>
    <t>K3362</t>
  </si>
  <si>
    <t>Szakmai tevékenységetsegítő szolgáltatás (Pszichológus: 70000 Ft/hó; )</t>
  </si>
  <si>
    <t>Pszichológus -130.000 Ft/hó; jogász GYEP pályázat</t>
  </si>
  <si>
    <t>Üzemegészségügy (5 fő x 3.300 Ft/fő) áfamentes</t>
  </si>
  <si>
    <t>K3372</t>
  </si>
  <si>
    <t>Biztosítási díj autó (CASCO, Kötelező, baleseti adó)</t>
  </si>
  <si>
    <t>Szemétszállítás</t>
  </si>
  <si>
    <t>Kéményvizsgálat</t>
  </si>
  <si>
    <t>Riasztó figyelés (7500 Ft/n.év * 50%)</t>
  </si>
  <si>
    <t>terembérlet, szaktanácsadás, előadás</t>
  </si>
  <si>
    <t xml:space="preserve">Belföldi kiküldetés </t>
  </si>
  <si>
    <t>K350</t>
  </si>
  <si>
    <t>Műk.célú előzetesen felszámított Áfa (18%) Összesen</t>
  </si>
  <si>
    <t>Műk.célú előzetesen felszámított Áfa (27%) Összesen</t>
  </si>
  <si>
    <t xml:space="preserve">Egyéb dologi kiadás (konferenciák, kötelező továbbképzés, pályázati nevezési díjak)                              </t>
  </si>
  <si>
    <t>k355</t>
  </si>
  <si>
    <t>Cégautóadó</t>
  </si>
  <si>
    <t>K63</t>
  </si>
  <si>
    <t>Informatikai tárgyieszköz beszerzés</t>
  </si>
  <si>
    <t>Egyéb tárgyi eszközök beszerzése, létesítése</t>
  </si>
  <si>
    <t>Család - és Gyermekjóléti központ összesen</t>
  </si>
  <si>
    <t>Család - és Gyermekjóléti Szolgálat</t>
  </si>
  <si>
    <t>Közalk. alapilletm. ( 1 fő félállásban szakmai vezető; 3 fő családsegítő; 1 fő családsegítő 09.01-től)</t>
  </si>
  <si>
    <t>Kovács Dénes pályázatból -225.000 Ft/hó</t>
  </si>
  <si>
    <t>20000 Ft/hó</t>
  </si>
  <si>
    <t xml:space="preserve">Közlekedési ktg.térítés </t>
  </si>
  <si>
    <t>Bankszámlahj. 3 fő, 1.000 Ft/fő/hó)</t>
  </si>
  <si>
    <t>Munkaruha és védőruha (4 fő x 10.000 Ft/fő + gumikesztyű törlőkendő stb. 40 000Ft)</t>
  </si>
  <si>
    <t>Anyagvásárlás karbantartáshoz</t>
  </si>
  <si>
    <t>Informatikai szolgáltatás 7500 Ft/hó)</t>
  </si>
  <si>
    <t>Telefon (7900/hó x 12 hó)frekvencia díj (1040 Ft/ n.év*50%)</t>
  </si>
  <si>
    <t>Üzemegészségügy (5+1 fő x 3.300 Ft/fő) áfamentes</t>
  </si>
  <si>
    <t>Riasztó figyelés (7500 Ft/név - 50%)</t>
  </si>
  <si>
    <t>Belföldi kiküldetés ( személyes kisérés)</t>
  </si>
  <si>
    <t>Család - és Gyermekjóléti Szolgálat összesen</t>
  </si>
  <si>
    <t xml:space="preserve">Bölcsőde </t>
  </si>
  <si>
    <t xml:space="preserve">Közalk.alapilletménye  - 2 fő kisgyermeknevelő ( 1 fő főisk., 1 fő középfok. Végz.)  1 fő dajka </t>
  </si>
  <si>
    <t>1 fő Bölcsődei pótlék bölcsödében fogl.középf.végz. 257/2000.(XII.26.)Korm.rendelet 6.sz.melléklete</t>
  </si>
  <si>
    <t>vezetői pótlék (1 fő) 10.000Ft/hó</t>
  </si>
  <si>
    <t>pályázatból</t>
  </si>
  <si>
    <t>Irodaszer, nyomtatvány</t>
  </si>
  <si>
    <t>Tisztítószerek (1 csoport x50.000 Ft)</t>
  </si>
  <si>
    <t>Egyéb készletbesz. (konyharuha, konyhai eszközök stb.)</t>
  </si>
  <si>
    <t>Vásárolt élelmezés (12 fő 4x étkezés)( 12 fő*107 nap*774 Ft; 8 fő*31 nap*774; 12fő*73 nap*853Ft)</t>
  </si>
  <si>
    <t>Egyéb tárgyieszköz ( pelenkázóágy, csúszda )</t>
  </si>
  <si>
    <t>Beruházási célú előzetesen felsz. ÁFA</t>
  </si>
  <si>
    <t>Ingatlanok felújítása (csoport kialakítás: ajtó vás., mosdókagylók, ülőkád,festés stb. )</t>
  </si>
  <si>
    <t xml:space="preserve">K7 Felújítások </t>
  </si>
  <si>
    <t>Bölcsőde kiadásai összesen:</t>
  </si>
  <si>
    <t>MINDÖSSZESEN:</t>
  </si>
  <si>
    <t>Kéleshalom 08.31-ig</t>
  </si>
  <si>
    <t>Kéleshalom tagóvoda</t>
  </si>
  <si>
    <t>Vásárolt élelmezés   (15fő*107nap*661)( 10fő 32nap*661) (15fő*73*731)</t>
  </si>
  <si>
    <t>Kéleshalom egész évben</t>
  </si>
  <si>
    <t>működtetési</t>
  </si>
  <si>
    <t>Tervezett ktg. Összesen</t>
  </si>
  <si>
    <t>Állami támogatás összesen</t>
  </si>
  <si>
    <t>tervezet ktg.</t>
  </si>
  <si>
    <t>állami támogatás</t>
  </si>
  <si>
    <t>Óvoda</t>
  </si>
  <si>
    <t>kéleshalom</t>
  </si>
  <si>
    <t>08.31-ig</t>
  </si>
  <si>
    <t>Bölcsőde</t>
  </si>
  <si>
    <t>Gyj.kp.</t>
  </si>
  <si>
    <t>Gyj.Szolg.</t>
  </si>
  <si>
    <t>Nyitnikék</t>
  </si>
  <si>
    <t>Intézményi gyerekétkeztetés ( 2017 évi adat)</t>
  </si>
  <si>
    <t>szociális feladdatok egyéb támogatása (2017 évi adat)</t>
  </si>
  <si>
    <t>összesen:</t>
  </si>
  <si>
    <t>évvégéig</t>
  </si>
  <si>
    <t>összesen</t>
  </si>
  <si>
    <t>pályázaból 125.000 Ft</t>
  </si>
  <si>
    <t>Pályázatból 300.000 Ft</t>
  </si>
  <si>
    <t>költségcsökkentő tényezők</t>
  </si>
  <si>
    <t>Személyi jellegű *</t>
  </si>
  <si>
    <t>* A bérek  a minimálbér emeléssel számolva, 22% munkáltatót terh.szoc.hozzájárulási adóval</t>
  </si>
  <si>
    <t>* A bérek  a minimálbér emeléssel számolva, 20% munkáltatót terh.szoc.hozzájárulási adóval</t>
  </si>
  <si>
    <t>Személyi jellegű*</t>
  </si>
  <si>
    <t>Üzemegészségügy (3 fő x 3.300 Ft/fő) (áfamentes);bölcsőde orvosi szolg.</t>
  </si>
  <si>
    <t>jubileumi jutalom ( ( 30 év és 25 év után)szoc.hó</t>
  </si>
  <si>
    <t xml:space="preserve"> Sztrinkó T. 30.000 Ft/hó      Mesterné: 12.000 Ft</t>
  </si>
  <si>
    <t>Közalk.alapilletménye (1 óvodatitkár, 01-08-ig 8 dajka,09-12-ig 7 dajka ,01-12-ig  2 pedagógus aszisztens; 01-08-ig  14 óvodapedagógus 09-12-ig 13 óvodapedagógus ( Kristánné; Suták Zs., Krupáné végkielégítés)</t>
  </si>
  <si>
    <t>Jubileumi jutalom ( ( 30 év Cserenákné; 25 év  Kovácsné ; Suták Zs.és Krupáné mv.megsz.)</t>
  </si>
  <si>
    <t xml:space="preserve">Gyermeklánc Óvoda és Bölcsőde, Család- és Gyermekjóléti Központ 2018. évi költségvetés-tervezete </t>
  </si>
  <si>
    <t>Bölcsőde orvosi szolg. 6000 Ft/hó (ÁFA mentes)</t>
  </si>
  <si>
    <t>Szakmai tev. segítő és egyéb szolg. összesen:</t>
  </si>
  <si>
    <t>Rágcsálóírtás</t>
  </si>
  <si>
    <t>K322</t>
  </si>
  <si>
    <t>Megnevezés</t>
  </si>
  <si>
    <t>B405</t>
  </si>
  <si>
    <t>096015</t>
  </si>
  <si>
    <t>104043</t>
  </si>
  <si>
    <t>Gyermekjóléti Központ</t>
  </si>
  <si>
    <t>Gyermekjóléti Szolgálat</t>
  </si>
  <si>
    <t>Nyitnikék Gyerekház</t>
  </si>
  <si>
    <t xml:space="preserve">Mindösszesen: </t>
  </si>
  <si>
    <t xml:space="preserve">Szemétszállítás </t>
  </si>
  <si>
    <t>Költségvetési maradvány igénybevétele</t>
  </si>
  <si>
    <t>091110 cofog Óvodai nevelés</t>
  </si>
  <si>
    <t>Óvodai gyermekétkeztetés kiadásai mindösszesen:</t>
  </si>
  <si>
    <t>Bölcsődei gyermekétkeztetés kiadásai mindösszesen:</t>
  </si>
  <si>
    <t>Összesen</t>
  </si>
  <si>
    <t>Mindösszesen</t>
  </si>
  <si>
    <t>Bölcsődei étkeztetés bevételei mindösszesen:</t>
  </si>
  <si>
    <t>Intézményfinanszírozás</t>
  </si>
  <si>
    <t>állami támogatásból</t>
  </si>
  <si>
    <t>EU-pályázati támogatásból</t>
  </si>
  <si>
    <t>önkormányzat saját ktgv.-ből</t>
  </si>
  <si>
    <t>Cofog</t>
  </si>
  <si>
    <t>091110</t>
  </si>
  <si>
    <t>104060</t>
  </si>
  <si>
    <t>104042</t>
  </si>
  <si>
    <t>Bölcsődei ellátás</t>
  </si>
  <si>
    <t>104031</t>
  </si>
  <si>
    <t>104035</t>
  </si>
  <si>
    <t>K1 Személyi juttatások</t>
  </si>
  <si>
    <t>K2 Munkaadót terhelő járulékok</t>
  </si>
  <si>
    <t>091140</t>
  </si>
  <si>
    <t>Biztos Kezdet Nyitnikék Gyerekház</t>
  </si>
  <si>
    <t>091110 cofog - Óvodai nevelés kiadásai mindösszesen:</t>
  </si>
  <si>
    <t>091140 cofog Óvoda fenntartása, üzemeltetése</t>
  </si>
  <si>
    <t>K3 Dologi kiadások</t>
  </si>
  <si>
    <t>K6 Beruházások</t>
  </si>
  <si>
    <t>K7 Felújítások</t>
  </si>
  <si>
    <t>Felújítási célú előzetesen felszámított áfa</t>
  </si>
  <si>
    <t>Nyomtatási, sokszorosítási feladatokkal összefüggő anyagok (festék, festékpatron)</t>
  </si>
  <si>
    <t>Egyéb készletbeszerzés (Radnóti u., Batthyány u. agyag, gyurma, temperafesték, ragasztó, színesceruza, zsírkréta, rajzlapok stb.)</t>
  </si>
  <si>
    <t>Hajtó- és kenőanyag (fűnyíróhoz és sövénynyíróhoz)</t>
  </si>
  <si>
    <t>Informatikai eszközök, melyek a tevékenységet legfeljebb 1 évig szolgálják</t>
  </si>
  <si>
    <t>Vegyszerek (fertőtlenítő, tetűírtószer)</t>
  </si>
  <si>
    <t>Gyógyszerek (lázcsillapító, kötszerek)</t>
  </si>
  <si>
    <t>Könyvek</t>
  </si>
  <si>
    <t>Folyóiratok</t>
  </si>
  <si>
    <t>K321</t>
  </si>
  <si>
    <t>Informatikai szolgáltatások igénybevétele</t>
  </si>
  <si>
    <t>Óvodai intézményi gyermekétkeztetés bevételei mindösszesen:</t>
  </si>
  <si>
    <t>Ellátási díjak</t>
  </si>
  <si>
    <t>Étkezési térítési díj bevétel</t>
  </si>
  <si>
    <t>B406</t>
  </si>
  <si>
    <t>Kiszámlázott Általános forgalmi adó</t>
  </si>
  <si>
    <t>Étk.tér. díj utáni  Áfa (27%)</t>
  </si>
  <si>
    <t>Üzemeltetési anyagok áfa-ja (27%)</t>
  </si>
  <si>
    <t>Vásárolt élelmezés áfa-ja (27%)</t>
  </si>
  <si>
    <t>K3 Dologi kiadások összesen:</t>
  </si>
  <si>
    <t>Műk. célú előzetesen felszámított áfa</t>
  </si>
  <si>
    <t>Vásárolt élelmezés</t>
  </si>
  <si>
    <t>Tárgyévi bevételek összesen</t>
  </si>
  <si>
    <t>K6 Beruházások:</t>
  </si>
  <si>
    <t>104031 cofog Bölcsődei ellátás</t>
  </si>
  <si>
    <t>Egyéb kommunikációs szolgáltatások</t>
  </si>
  <si>
    <t>K331</t>
  </si>
  <si>
    <t>Közüzemi díjak</t>
  </si>
  <si>
    <t>Szakmai tevékenységet segítő szolgáltatások</t>
  </si>
  <si>
    <t>Bölcsőde orvosi szolgáltatás díja (6.000 Ft/hó) áfa mentes szolg.</t>
  </si>
  <si>
    <t>Egyéb szolgáltatások</t>
  </si>
  <si>
    <t>Kiküldetések kiadásai</t>
  </si>
  <si>
    <t>K342</t>
  </si>
  <si>
    <t>Működési célú általános forgalmi adó</t>
  </si>
  <si>
    <t>K31 Készletbeszerzés összesen:</t>
  </si>
  <si>
    <t>K32 Kommunikációs szolgáltatás összesen:</t>
  </si>
  <si>
    <t>K33 Szolgáltatási kiadások összesen:</t>
  </si>
  <si>
    <t>K35 Különféle befizetések és egyéb dologi kiadások összesen:</t>
  </si>
  <si>
    <t xml:space="preserve">Egyéb dologi kiadások </t>
  </si>
  <si>
    <t>Kerekítési különbözet (készpénzfizetésnél, az 1 és 2 forintos érmék forgalomból való kivonása miatt)</t>
  </si>
  <si>
    <t>Gyógyszerek (5%)</t>
  </si>
  <si>
    <t>Kötszerek</t>
  </si>
  <si>
    <t>Gyógyszerek (pl. lázcsillapító)</t>
  </si>
  <si>
    <t>Vegyszerek, kötszerek (27%)</t>
  </si>
  <si>
    <t>Üzemeltetési anyagok (27%)</t>
  </si>
  <si>
    <t>Egyéb kommunikációs szolgáltatások (27%)</t>
  </si>
  <si>
    <t>Belföldi kiküldetés (szakmai nap, konferencia, továbbképzés esetén)</t>
  </si>
  <si>
    <t>Reklám- és propaganda kiadások</t>
  </si>
  <si>
    <t xml:space="preserve">Irodai papír, nyomtatvány, irodaszerek </t>
  </si>
  <si>
    <t>Papír törlőkendő, papírzsebkendő</t>
  </si>
  <si>
    <t>K34 Kiküldetések, reklám- és propaganda kiadások összesen:</t>
  </si>
  <si>
    <t>Bölcsődei ellátás kiadásai mindösszesen:</t>
  </si>
  <si>
    <t>Homokozó eszközök, játékok, sporteszközök (27 %)</t>
  </si>
  <si>
    <t>1 fő kisgyermeknevelő alapilletménye (főiskolai végzettségű)</t>
  </si>
  <si>
    <t>Törvény szerinti illetmények, munkabérek</t>
  </si>
  <si>
    <t>Egyéb költségtérítések</t>
  </si>
  <si>
    <t>Munkaadót terhelő járulékok és szoc.hj. adó</t>
  </si>
  <si>
    <t>Rehabilitációs hozzájárulás</t>
  </si>
  <si>
    <t>Táppénz hozzájárulás</t>
  </si>
  <si>
    <t>K2 Munkaadót terhelő járulékok és szoc. hj. adó:</t>
  </si>
  <si>
    <t>Informatikai szolgáltatások (PANDA) 27%</t>
  </si>
  <si>
    <t>Közüzemi díjak (27%)</t>
  </si>
  <si>
    <t>Egyéb szolgáltatások (27%)</t>
  </si>
  <si>
    <t>Bankszámla hozzájárulás 2 fő x 1.000,- Ft/fő/hó</t>
  </si>
  <si>
    <t>2 fő szakmai munkatárs (Agócs Lászlóné, Lippai-Ádám Nikolett)</t>
  </si>
  <si>
    <t>Egyéb üzemeltetési anyagok</t>
  </si>
  <si>
    <t>Telefon, mobil-díjak</t>
  </si>
  <si>
    <t>Étkeztetési szolgáltatás igénybevétele</t>
  </si>
  <si>
    <t>K333</t>
  </si>
  <si>
    <t>Bérleti és lizingdíjak</t>
  </si>
  <si>
    <t>Karbantartási, kisjavítási szolgáltatások</t>
  </si>
  <si>
    <t>Kazán, mosógép, porszívó, konyhai eszközök javítása, karbantartása</t>
  </si>
  <si>
    <t>Terembérleti díj</t>
  </si>
  <si>
    <t>Továbbképzés (áfa mentes szolg.)</t>
  </si>
  <si>
    <t xml:space="preserve">Kéményseprés díja </t>
  </si>
  <si>
    <t>Belföldi kiküldetés (továbbképzés, konferencia,szakmai látogatás más gyerekházakba)</t>
  </si>
  <si>
    <t>Festék, rajzlap, marokkréta, kézműves alapanyagok, leporellók</t>
  </si>
  <si>
    <t>Vásárolt  élelmezés (27%)</t>
  </si>
  <si>
    <t>Bérleti és lizingdíjak (27%)</t>
  </si>
  <si>
    <t>Karbantartás, kisjavítás (27%)</t>
  </si>
  <si>
    <t>Ell. szám</t>
  </si>
  <si>
    <t>K123</t>
  </si>
  <si>
    <t>K11</t>
  </si>
  <si>
    <t>Foglalkoztatottak személyi juttatásai</t>
  </si>
  <si>
    <t>104043 cofog Család- és Gyermekjóléti Központ</t>
  </si>
  <si>
    <t>Közlekedési költségtérítés</t>
  </si>
  <si>
    <t>Készenléti, ügyeleti, helyettesítési díj, túlóra, túlszolgálat</t>
  </si>
  <si>
    <t>Táppénzhozzájárulás</t>
  </si>
  <si>
    <t>Vegyszer (fertőtlenítő, tetűírtószer, kézfertőtlenítő kendő és gél)</t>
  </si>
  <si>
    <t xml:space="preserve">Gyógyszerek </t>
  </si>
  <si>
    <t>Egyszerhasználatos gumikesztyű, törlőkendő</t>
  </si>
  <si>
    <t xml:space="preserve">Tisztítószerek </t>
  </si>
  <si>
    <t>Karbantartási anyagok</t>
  </si>
  <si>
    <t>Egyéb készletbeszerzés</t>
  </si>
  <si>
    <t>Vodafone telefondíj (7.800 Ft/hó)</t>
  </si>
  <si>
    <t>Kötelező továbbképzés, továbbtanulás (áfa mentes szolg.)</t>
  </si>
  <si>
    <t>Szaktanácsadás, előadás</t>
  </si>
  <si>
    <t>Postabélyeg (áfa mentes szolg.)</t>
  </si>
  <si>
    <t xml:space="preserve">Kéményvizsgálat díja </t>
  </si>
  <si>
    <t>Biztosítási díj (CASCO, KGFB) áfa mentes szolg.</t>
  </si>
  <si>
    <t>Rágcsálóírtás, rovarírtás (áfa mentes szolg.)</t>
  </si>
  <si>
    <t>Informatikai eszközök beszerzése, létesítése</t>
  </si>
  <si>
    <t>K61</t>
  </si>
  <si>
    <t>Immateriális javak beszerzése, létesítése</t>
  </si>
  <si>
    <t>Szünet mentes tápegység</t>
  </si>
  <si>
    <t>Immateriális javak beszerzése, létesítése (27%)</t>
  </si>
  <si>
    <t>Informatikai eszközök beszerzése, létesítése (27%)</t>
  </si>
  <si>
    <t>Egyéb tárgyi eszközök beszerzése, létesítése (27%)</t>
  </si>
  <si>
    <t>Könyvek (5%)</t>
  </si>
  <si>
    <t>Internet előfizetés (Dózsa Gy. U. 93.) 5%</t>
  </si>
  <si>
    <t>Vodafone telefondíj (27%)</t>
  </si>
  <si>
    <t>Szoftver beszerzés (Windows 10)</t>
  </si>
  <si>
    <t>Család- és Gyermekjóléti Központ kiadásai mindösszesen:</t>
  </si>
  <si>
    <t>Óvodai nevelés fenntartási, üzemeltetési kiadásai mindösszesen:</t>
  </si>
  <si>
    <t>Telefon (24.200,- Ft/hó x 12 hó)</t>
  </si>
  <si>
    <t>K32 Kommunikációs szolgáltatások összesen:</t>
  </si>
  <si>
    <t>Karbantartás, kisjavítás</t>
  </si>
  <si>
    <t>Batthyány u. , Radnóti u. óvodában - kerítés javítás</t>
  </si>
  <si>
    <t>Batthyány u. és Radnóti u. óvodában - udvari játékok karbantartása, javítása</t>
  </si>
  <si>
    <t>Bérleti és lízingdíjak</t>
  </si>
  <si>
    <t>Terembérlet</t>
  </si>
  <si>
    <t>Terembérlet, erdei óvoda</t>
  </si>
  <si>
    <t>Belföldi kiküldetés (pedagógus továbbképzés, szakmai konf.)</t>
  </si>
  <si>
    <t>Informatikai eszk., melyek a tevékenységet legfeljebb 1 évig szolgálják (27%)</t>
  </si>
  <si>
    <t xml:space="preserve">Internetelőfizetés (5%) </t>
  </si>
  <si>
    <t>EPER fenntartási díj (27%)</t>
  </si>
  <si>
    <t>Telefon (27%)</t>
  </si>
  <si>
    <t>Bérleti és lízingdíjak (27%)</t>
  </si>
  <si>
    <t>Könyv, folyóirat (5%)</t>
  </si>
  <si>
    <t>PANDA vírusvédelem (27%</t>
  </si>
  <si>
    <t>Egyéb kommunikációs szolg. (frekvenciadíj - 27%)</t>
  </si>
  <si>
    <t>Udvari játékok, sportszerek (27%)</t>
  </si>
  <si>
    <t>Ingatlanok felújítása</t>
  </si>
  <si>
    <t>Irodai papír, nyomtatvány, irodaszer (pl. irattartó, tűző- gép, irodai kapcsok, naptár, ceruza, toll, radír, ragasztó, lyukasztó)</t>
  </si>
  <si>
    <t>104042 cofog Család- és Gyermekjóléti Szolgálat</t>
  </si>
  <si>
    <t>Gépkocsi mosatás</t>
  </si>
  <si>
    <t>Hajtó- és kenőanyag</t>
  </si>
  <si>
    <t>Hajtó- és kenőanyag (Dacia Duster gjmű)</t>
  </si>
  <si>
    <t>Belföldi kiküldetés (személyes kísérés esetén)</t>
  </si>
  <si>
    <t xml:space="preserve">Jubileumi jutalom </t>
  </si>
  <si>
    <t>Készenléti díj</t>
  </si>
  <si>
    <t>Ügyeleti díj</t>
  </si>
  <si>
    <t>Munkáltató által fizetendő SZJA (mc.telefon) x 1,18 x 15%</t>
  </si>
  <si>
    <t>K1 Személyi juttatások összesen:</t>
  </si>
  <si>
    <t>K2 Munkaadót terhelő járulékok összesen:</t>
  </si>
  <si>
    <t xml:space="preserve">Egyéb pótlék </t>
  </si>
  <si>
    <t xml:space="preserve">1 fő felsőfokú végzettségű kisgyermeknevelő, mint szakmai vezető részére </t>
  </si>
  <si>
    <t>Pótlékalap 100%-a, azaz 20.000,- Ft/hó egész évre</t>
  </si>
  <si>
    <t>2 fő iskolai, óvodai szociális  segítő részére</t>
  </si>
  <si>
    <t xml:space="preserve">Vezetői pótlék </t>
  </si>
  <si>
    <t>Munkáltató által fiz. SZJA (telefon mc. haszn. után) x 1,18 x 15%</t>
  </si>
  <si>
    <t>Törvény szerinti illetmények, munkabérek, pótlékok</t>
  </si>
  <si>
    <t>Bölcsődei étkeztetés</t>
  </si>
  <si>
    <t>Óvodai étkeztetés</t>
  </si>
  <si>
    <t>Óvodai nevelés</t>
  </si>
  <si>
    <t>K6 Beruházási kiadások összesen</t>
  </si>
  <si>
    <t>K7 Felújítási kiadások összesen:</t>
  </si>
  <si>
    <t>1 fő teljes munkaidős óvodatitkár illetménye</t>
  </si>
  <si>
    <t>Pótlékok</t>
  </si>
  <si>
    <t>Illetmények</t>
  </si>
  <si>
    <t>Jubileumi jutalom</t>
  </si>
  <si>
    <t>Megbízási díjak</t>
  </si>
  <si>
    <t>1 fő óvodatitkár + 2 fő technikai dolgozó</t>
  </si>
  <si>
    <t>Egyéb külső személyi juttatások</t>
  </si>
  <si>
    <t>Reprezentáció (értekezlet, évzáró rendezvény)</t>
  </si>
  <si>
    <t xml:space="preserve">K2 </t>
  </si>
  <si>
    <t xml:space="preserve">Táppénzhozzájárulás </t>
  </si>
  <si>
    <t>Szoc.hj. adó (jubileumi jutalom)</t>
  </si>
  <si>
    <t>Szoc.hj. adó (bankszámlahozzájárulás)</t>
  </si>
  <si>
    <t>Szoc.hj. adó (telefon vélelmezett magáncélú haszn.)</t>
  </si>
  <si>
    <r>
      <t xml:space="preserve">Munkáltató által fizetendő SZJA </t>
    </r>
    <r>
      <rPr>
        <sz val="10"/>
        <color theme="1"/>
        <rFont val="Calibri"/>
        <family val="2"/>
        <charset val="238"/>
        <scheme val="minor"/>
      </rPr>
      <t>(telefon vélelmezett magánc.haszn.)</t>
    </r>
  </si>
  <si>
    <t>Szoc.hj. adó (reprezentáció)</t>
  </si>
  <si>
    <r>
      <t xml:space="preserve">Munkáltató által fizetendő SZJA </t>
    </r>
    <r>
      <rPr>
        <sz val="11"/>
        <color theme="1"/>
        <rFont val="Calibri"/>
        <family val="2"/>
        <scheme val="minor"/>
      </rPr>
      <t>(reprezentáció)</t>
    </r>
  </si>
  <si>
    <t xml:space="preserve">Rehabilitációs hozzájárulás </t>
  </si>
  <si>
    <t>Tisztítószerek 1 csoport x 15.000 Ft/csoport</t>
  </si>
  <si>
    <t>Egyéb készletbeszerzés (pl. ágyneműk, törölközők, konyhai eszközök, tányérok, poharak, evőeszközök, védőöltözet)</t>
  </si>
  <si>
    <t>Szakköny, könyvek</t>
  </si>
  <si>
    <t>Asztali számítógép jogtiszta szoftverekkel</t>
  </si>
  <si>
    <t>Utazás, személyszállítás</t>
  </si>
  <si>
    <t xml:space="preserve">Belépőjegyek </t>
  </si>
  <si>
    <t>Egyéb tárgyi eszközök beszerzése (célcsoport számára programok megvalósításával kapcsolatos eszközök)</t>
  </si>
  <si>
    <t>"Tiszta udvar, jó egészség, megújul egy közösség"</t>
  </si>
  <si>
    <t>Megvalósítás 25 hónapon keresztül</t>
  </si>
  <si>
    <t>A támogatás a munkabérre és a járulékra terjed ki.</t>
  </si>
  <si>
    <t>TOP-5.2.1-15 projekt</t>
  </si>
  <si>
    <t>COFOG</t>
  </si>
  <si>
    <t>Ellenőrző szám</t>
  </si>
  <si>
    <t>Óvoda fenntartási kiadások</t>
  </si>
  <si>
    <t>Betegszabadság</t>
  </si>
  <si>
    <t>Projekt várható kezdete: 2021. március 1.</t>
  </si>
  <si>
    <t>TOP-5.2.1-15 projekt kiadásai mindösszesen:</t>
  </si>
  <si>
    <t>Internet előfizetés (Dózsa Gy. u. 93.) 5%          Gyj. Központ fizeti!</t>
  </si>
  <si>
    <t>Vezetékes telefondíj (27%)</t>
  </si>
  <si>
    <t>Család- és Gyermekjóléti Szolgálat kiadásai mindösszesen:</t>
  </si>
  <si>
    <t>2 fő iskolai, óvodai szociális  segítő illetménye</t>
  </si>
  <si>
    <t>Bankszámlahozzájárulás (2 fő iskolai, óvodai szociális segítő részére, teljes évre, 1.000 Ft/fő/hó összeggel)</t>
  </si>
  <si>
    <t>EPER adatmegőrzési díj (2019-2020-ban kellett fizetni, az elkövetkezendő 8 évben már ingyenes)</t>
  </si>
  <si>
    <t>Bankszámlahozzájárulás (1.000 Ft/hó/fő)</t>
  </si>
  <si>
    <t>Intézményi saját bevételek</t>
  </si>
  <si>
    <t>Pályázati támogatás</t>
  </si>
  <si>
    <t>Bevételek mindösszesen</t>
  </si>
  <si>
    <t>Egyéb szolgálatások (szállítási díj) Áfa-ja (27%)</t>
  </si>
  <si>
    <t>Üzemeltetési anyagok (18%)</t>
  </si>
  <si>
    <t>Üzemeltetési anyagok (5%)</t>
  </si>
  <si>
    <t>Vegyszerek (fertőtlenítő, tetűírtószer), kötszerek</t>
  </si>
  <si>
    <t>Gyógyszerek (pl. lázcsillapító) (áfa 5%)</t>
  </si>
  <si>
    <t>Élelmiszerek, élelmezési nyersanyagok (5%) - pl. tej, tojás</t>
  </si>
  <si>
    <t>Élelmiszerek, élelmezési nyersanyagok (18%) - pl. tejtermék, pékáru</t>
  </si>
  <si>
    <t>Élelmiszerek, élelmezési nyersanyagok (27%)- pl. zöldség, gyümölcs, felvágottak, tea, kávé, kakaó, cukor, fűszerek stb.</t>
  </si>
  <si>
    <t>104035 cofog Bölcsődei gyermekétkeztetés</t>
  </si>
  <si>
    <t>096015 cofog Óvodai intézményi gyermekétkeztetés</t>
  </si>
  <si>
    <t>062020</t>
  </si>
  <si>
    <t>Munkáltató által fizetendő SZJA</t>
  </si>
  <si>
    <t>Szoc.hj. adó  13%</t>
  </si>
  <si>
    <t>Projekt kezdete 2021. május 1.</t>
  </si>
  <si>
    <t>EFOP-3.9.2-16-2017-00057 projekt "Járásokat összekötő humán kapacitások fejlesztése térségi szemléletben"</t>
  </si>
  <si>
    <t>TOP-5.2.1-15-BK1-2020-00010 projekt</t>
  </si>
  <si>
    <t>Projekt elszámolása alapján visszafizetési kötelezettség</t>
  </si>
  <si>
    <t>041140</t>
  </si>
  <si>
    <t>EFOP-3.9.2 projekt</t>
  </si>
  <si>
    <t>EFOP-3.9.2 projekt kiadásai mindösszesen:</t>
  </si>
  <si>
    <t>Továbbképzési részvételi díj</t>
  </si>
  <si>
    <t>Poroltó készülékek vizsgálata (6 db)</t>
  </si>
  <si>
    <t>Óvodai ágyak, ágytároló szekrény; kuka, porszívó, takarítógép, létra, mosógép (27%)</t>
  </si>
  <si>
    <t>Poroltó készülékek vizsgálata (1 db)</t>
  </si>
  <si>
    <t>Pszichológus (27%)</t>
  </si>
  <si>
    <t>1 fő szakmai vezető illetménye (Zámbó J.)</t>
  </si>
  <si>
    <t>1 fő szakmai vezető (Pécsi Renáta)</t>
  </si>
  <si>
    <t>1 fő szakmai vezető részére</t>
  </si>
  <si>
    <t xml:space="preserve">Munkába járás </t>
  </si>
  <si>
    <t>Szoc.hj. adó (vélelmezett  mc. telefonhasználat) x 1,18 x 13%</t>
  </si>
  <si>
    <t>041140 cofog</t>
  </si>
  <si>
    <t>K5 Egyéb működési célú kiadások</t>
  </si>
  <si>
    <t>K5 Egyéb működési kiadások</t>
  </si>
  <si>
    <t>K506</t>
  </si>
  <si>
    <t>Egyéb műk. célú támogatás ÁH-n belülre</t>
  </si>
  <si>
    <t>1.890 Ft/óra x 30% = 567 Ft/óra</t>
  </si>
  <si>
    <t>14 nap x 8 óra x 567 Ft/óra = 63.504 Ft</t>
  </si>
  <si>
    <t>1 fő kisgyermeknevelő részére  - a másik kisgyermeknevelő távolléte idejére (pl. szabadság)</t>
  </si>
  <si>
    <t xml:space="preserve">Esetmenedzserek illetménye </t>
  </si>
  <si>
    <t>1 fő szakmai vezető + esetmenedzserek részére</t>
  </si>
  <si>
    <t>Készenléti díj (300,- Ft/óra), ügyeleti díj (450,- Ft/óra)</t>
  </si>
  <si>
    <t>Bankszámlahozzájárulás (1 fő szakmai vez., 4 fő esetmenedzser részére teljes évre, 1.000 Ft/fő/hó összeggel)</t>
  </si>
  <si>
    <t>Szoc.hj. adó (jubileumi jutalom) 13%</t>
  </si>
  <si>
    <t>Szoc.hj. adó (bankszámlahozzájárulás) 13%</t>
  </si>
  <si>
    <t>Szoc.hj. adó (mc. telefonhasználat) x 1,18 x 13%</t>
  </si>
  <si>
    <t>7 fő teljes munkaidős dajka illetménye</t>
  </si>
  <si>
    <t>15 fő  óvodapedagógus</t>
  </si>
  <si>
    <t>gyermekétk. (óvoda+bölcsőde együtt)</t>
  </si>
  <si>
    <t>Gyj. Közp. + Szolg. Együtt</t>
  </si>
  <si>
    <t>Munkaruha és védőruha 28 fő x 15.000 Ft/fő</t>
  </si>
  <si>
    <t>Tisztítószerek 7 csoport x 60.000 Ft/csoport</t>
  </si>
  <si>
    <t>Egyéb készletbeszerzés (karbantartási anyag épületkarbantartás, bútorok karbantartása, javítása)</t>
  </si>
  <si>
    <t xml:space="preserve">Internetelőfizetés (Radnóti u. óvoda 5.900 Ft/hó, Batthyány u. óvoda 3.900 Ft/hó) </t>
  </si>
  <si>
    <t>Frekvencia díj riasztóhoz 2000 Ft/n.év</t>
  </si>
  <si>
    <t>Üzemegészségügy (28 fő x 3.500 Ft/fő) áfamentes szolgáltatás</t>
  </si>
  <si>
    <t>hűtőgép, műanyag dobozok csoportonként és konyhai szállításra, badella, kuka, porszívó, takarítógép, létra, mosógép)</t>
  </si>
  <si>
    <t>Udvari játékok, sportszerek (labda, homokozó szett, egyensúlyzó, hinta, futóbicikli stb.)</t>
  </si>
  <si>
    <t>Kerítésfelújítás, parketta csiszolás - 3 csop. (Batthyány u.)</t>
  </si>
  <si>
    <t xml:space="preserve">Munkaruha és védőruha (6 fő x 20000 Ft/fő) </t>
  </si>
  <si>
    <t>Védőruha (konyhai belépésre)</t>
  </si>
  <si>
    <t>Tisztítószerek  55.000 Ft/csoport/év</t>
  </si>
  <si>
    <t>Egyéb készletbeszerzés (gyurma, festék, zsírkréta, ragasztó…); karbantartás és javítás</t>
  </si>
  <si>
    <t>Jogtiszta szoftver licenc díja (PANDA vírusírtó 6 db számítógépre, 20.000 Ft/gép)</t>
  </si>
  <si>
    <t>Jogtiszta szoftver licenc díja (PANDA vírusírtó 2 db számítógépre)</t>
  </si>
  <si>
    <t>Villamosenergia (7000 kWh/év)</t>
  </si>
  <si>
    <t>Gázenergia (3000 m3/év)</t>
  </si>
  <si>
    <t xml:space="preserve">Üzemegészségügy (6 fő x 3.500 Ft/fő) </t>
  </si>
  <si>
    <t xml:space="preserve">Kötelező továbbképzés </t>
  </si>
  <si>
    <t xml:space="preserve">Vagyonvédelmi szolg.díja </t>
  </si>
  <si>
    <t>Poroltó készülékek vizsgálata 2 db</t>
  </si>
  <si>
    <t xml:space="preserve">Rágcsálóírtás, rovarírtás </t>
  </si>
  <si>
    <t xml:space="preserve">Udvari játékok felülvizsgálata </t>
  </si>
  <si>
    <t>Munkaruha és védőruha (5 fő x 15.000 Ft/fő)</t>
  </si>
  <si>
    <t>Munkaruha és védőruha (2 fő x 15.000 Ft/fő)</t>
  </si>
  <si>
    <t>Jogtiszta szoftver licenc díja (PANDA vírusírtó 10 db számítógép x 20.000 Ft/gép)</t>
  </si>
  <si>
    <t>Rádiófrekvenciadíj riasztóhoz (2.000 Ft/negyedév x 50%)</t>
  </si>
  <si>
    <t>Gázenergia (1000 m3/év)</t>
  </si>
  <si>
    <t>Villamosenergia (3000 kWh)</t>
  </si>
  <si>
    <t xml:space="preserve">Üzemegészségügy (5 fő x 3.500 Ft/fő) </t>
  </si>
  <si>
    <t xml:space="preserve">Üzemegészségügy (2 fő x 3.500 Ft/fő) </t>
  </si>
  <si>
    <t xml:space="preserve">Kötelező továbbképzés, továbbtanulás </t>
  </si>
  <si>
    <t>Vagyonvédelmi szolg.díja (16.000 Ft/negyedév x 50%)</t>
  </si>
  <si>
    <t>Cégautóadó az 1991. évi LXXXII. tv. IV. fejezete szerint Dacia Duster gjmű után (16.000,- Ft/hó x 12 hó)</t>
  </si>
  <si>
    <t>Külső winchester beszerzése</t>
  </si>
  <si>
    <t>Vízforraló, mikrohullámú sütő</t>
  </si>
  <si>
    <t>Asztali számítógépek memória bővítése, billentyűzet, egér</t>
  </si>
  <si>
    <t>Munkaruha és védőruha (3 fő x 15.000 Ft/fő)</t>
  </si>
  <si>
    <t>Internet előfizetés ; Gyj. Központ fizeti</t>
  </si>
  <si>
    <t>Vezetékes telefon díj</t>
  </si>
  <si>
    <t>Jogtiszta szoftver licenc díja (PANDA vírusírtó 4 db számítógép x 20.000 Ft/gép)</t>
  </si>
  <si>
    <t>Gázenergia (1000 m3)</t>
  </si>
  <si>
    <t>Festés, szükséges kisjavítások (pl. ablaküvegezés, mosdó; gázkazán stb.)</t>
  </si>
  <si>
    <t>Szék, asztal, szekrény, mosdó, csap, ajtó, fénymásoló, gázkazán…</t>
  </si>
  <si>
    <t xml:space="preserve">Üzemegészségügy (3 fő x 3.500 Ft/fő) </t>
  </si>
  <si>
    <t>Vagyonvédelmi szolg.díja ( 16000 Ft/negyedév x 50%)</t>
  </si>
  <si>
    <t>Törölköző, konyharuha, poharak, kávés csészék</t>
  </si>
  <si>
    <t>Jogtiszta szoftver licenc díja (PANDA vírusírtó 20.000,- Ft x 2 db szám.gép)</t>
  </si>
  <si>
    <t>2022. december (260.000,- Ft/fő x 2 fő x 1 hó)</t>
  </si>
  <si>
    <t>2023. január - november (296.400,- Ft/hó 2 fő x 11 hó)</t>
  </si>
  <si>
    <t>2022. december hó (20.000,- Ft/hó x 1 hó)</t>
  </si>
  <si>
    <t>2023. január - november (30.000,- Ft/hó x 11 hó)</t>
  </si>
  <si>
    <t>2023. jan.-nov. hó 94.848- Ft/hó x 2 fő x 11 hó</t>
  </si>
  <si>
    <t>2022.  december hó (bérjegyzék szerint)</t>
  </si>
  <si>
    <t>2023. január - november hó = 296.400 Ft/hó x 11 hó</t>
  </si>
  <si>
    <t>2 fő családsegítő (Barnáné K.Sz., Lógóné K.A)</t>
  </si>
  <si>
    <t>2022.  dec. hó (bérjegyzék szerint)     2 fő x 260.000 Ft/hó</t>
  </si>
  <si>
    <t>2023. január - november hó = 2 fő x 296.400 Ft/hó x 11 hó</t>
  </si>
  <si>
    <t>Szociális ágazati összevont pótlék 257/2000.(XII.26.) Korm.r. 5. sz. melléklet szerint</t>
  </si>
  <si>
    <t>2022.  december hó      116.000- Ft /hó x 1 hó</t>
  </si>
  <si>
    <t>2 fő családsegítő munkatárs (teljes munkaidősök)</t>
  </si>
  <si>
    <t>2022. december hó   (99.000 Ft/hó + 28.000 Ft/hó ) x 1hó</t>
  </si>
  <si>
    <t>2023. jan. - nov. (99.000 Ft/hó + 35.000 Ft/hó ) x 11 hó</t>
  </si>
  <si>
    <t>2022. december hó      20.000 Ft/hó</t>
  </si>
  <si>
    <t>2023. jan. - nov. hó  40.000 Ft/hó x 11 hó</t>
  </si>
  <si>
    <t>2023-ban nincs jubileumi jutalomra jogosult személy.</t>
  </si>
  <si>
    <t>Bankszámlahozzájárulás (3 fő részére, 1.000 Ft/fő/hó)</t>
  </si>
  <si>
    <t>2022. december hó = 260.000 Ft/hó + 4.700,- Ft/hó</t>
  </si>
  <si>
    <t>2023. január - november hó = (296.400 Ft/hó) x 11 hó</t>
  </si>
  <si>
    <t>2022. december hó 4 fő x 260.000 Ft/hó</t>
  </si>
  <si>
    <t>(Agócs E., Perák Zs., Patai I., Balogh A.)   4 fő</t>
  </si>
  <si>
    <t>(Szarvasné T.Zs., Buzás P. )   2 fő</t>
  </si>
  <si>
    <t>2022. december hó (260.000,- Ft/hó x 2 fő x 1 hó)</t>
  </si>
  <si>
    <t>2023. január - november       (296.400,- Ft/hó x 2 fő x 11 hó)</t>
  </si>
  <si>
    <t>2023. jan - nov.; 4 fő esetm. (108.000+116.000+108.000+80.000  Ft/hó x 11 hó)</t>
  </si>
  <si>
    <t>2023. jan - nov. (39.000+136.000 Ft/hó x 11 hó)</t>
  </si>
  <si>
    <t>2023. január - november (75.000 Ft/hó x 11 hó)</t>
  </si>
  <si>
    <t>2023. január - november, szakmai vezető (179.000 Ft/hó x 11 hó)</t>
  </si>
  <si>
    <t>2022. december hó (tényadat készenlét + ügyelet együtt)</t>
  </si>
  <si>
    <t>2023. jan-nov.  Készenlét 128 óra x 52 hét x 300,-Ft/óra</t>
  </si>
  <si>
    <t xml:space="preserve">2023. jan-nov.  Ügyelet 111 óra x 450,- Ft/óra </t>
  </si>
  <si>
    <t>2023. évben jubileumi jutalomra nem jogosult senki</t>
  </si>
  <si>
    <t>2022.  december havi illetménye 328.860,- Ft/hó</t>
  </si>
  <si>
    <t>2023. jan. - nov. havi illetménye 328.860,- Ft/hó x 11 hó</t>
  </si>
  <si>
    <t>3 fő kisgyermeknevelő alapilletménye (középiskolai végzettség); Bognár É.; Mészáros F.; Vaski Cs.</t>
  </si>
  <si>
    <t>2022.  december havi illetménye (260.000,- Ft/hó , 3 fő)</t>
  </si>
  <si>
    <t>2023. jan. - nov. illetménye (296.400 Ft/hó x 11 hó)  3 fő</t>
  </si>
  <si>
    <t>2 fő bölcsődei dajka alapilletménye</t>
  </si>
  <si>
    <t>2022.  december havi illetménye (260.000,- Ft/hó ) 2 fő</t>
  </si>
  <si>
    <t>2023. jan. - nov. illetménye (296.400 Ft/hó x 11 hó) 2 fő</t>
  </si>
  <si>
    <t>1 fő felsőfokú végz. kisgyermek- nevelő részére  - Korm.r. 6.sz. melléklet</t>
  </si>
  <si>
    <t>2023.  január  - november 137.639 Ft /hó x 11 hó</t>
  </si>
  <si>
    <t>3 fő középfokú végzettségű kisgyermeknevelő részére  - Korm.r.  6. sz. melléklet</t>
  </si>
  <si>
    <t>2023.  jan - nov. (91.812+89.700+80.280 Ft /hó x 11 hó)</t>
  </si>
  <si>
    <t>2 fő bölcsődei dajka részére   Korm.r.  6/a. sz. melléklet</t>
  </si>
  <si>
    <t>1 fő felsőfokú végzettségű, pedagógus besorolású kisgyermek-nevelő részére  (mértéke 2021-ben 10% volt, 2022.01.01-től: pótlék és illetményeltérítés nélkül számított illetményének 20%-a; 2023. jan. 1-jétől 32%-a)</t>
  </si>
  <si>
    <t xml:space="preserve">2022.  december hóra 65.772 Ft /hó </t>
  </si>
  <si>
    <t xml:space="preserve">2022.  december hóra 20.000 Ft /hó </t>
  </si>
  <si>
    <t>2023. évben nincs jubileumi jutalomra jogosult dolgozó!</t>
  </si>
  <si>
    <t>Bankszámlahozzájárulás 2023. jan.-dec. (6 fő x 1.000 Ft/fő/hó)</t>
  </si>
  <si>
    <t>Villamosenergia (16670 kWh X 70,1 Ft +2523 kWh X 36 Ft)</t>
  </si>
  <si>
    <t>Gázenergia (9628m3 X 747 Ft +1729 m3 X 102 Ft)</t>
  </si>
  <si>
    <t>Kerítésfelújítás, parketta csiszolás (27%)</t>
  </si>
  <si>
    <t>Rádiófrekvenciadíj riasztóhoz 2.000 Ft/negyedév</t>
  </si>
  <si>
    <t>Kamerarendszer karbantartás (12.000 Ft/negyedév)</t>
  </si>
  <si>
    <t>Szemétszállítás (15.000 Ft/negyedév)</t>
  </si>
  <si>
    <t>2022.  december hóra  (84.888+81.816+77.592 Ft /hó )</t>
  </si>
  <si>
    <t>2022.  december hóra  (96.996+96.996 Ft /hó )</t>
  </si>
  <si>
    <t>2022. december hó (bérjegyzék szerint)  2 fő (29.000+136.000)</t>
  </si>
  <si>
    <t xml:space="preserve">15 fő óvodapedagógus illetménye  </t>
  </si>
  <si>
    <t xml:space="preserve">2022. december hó </t>
  </si>
  <si>
    <t>2023. január - november</t>
  </si>
  <si>
    <t>2023. jan. - nov. illetménye (296.400 Ft/fő/hó x 11 hó)</t>
  </si>
  <si>
    <t>2022. december (260.000,- Ft/hó x 7 fő)</t>
  </si>
  <si>
    <t>3 fő teljes munkaidős pedagógiai asszisztens illetménye</t>
  </si>
  <si>
    <t>2022. december (260.000,- Ft/hó x 3 fő)</t>
  </si>
  <si>
    <t>2023. jan. - nov. (296.400,- Ft/hó x 3 fő x 11 hó)</t>
  </si>
  <si>
    <t>2022. december (130.000+195.000 Ft/hó )</t>
  </si>
  <si>
    <t>2022. december  (9.500 Ft + 8.200 Ft)</t>
  </si>
  <si>
    <t>2022. december hó (15 fő óvodapedagógus)</t>
  </si>
  <si>
    <t>2023. január - november (15 fő óvodapedagógus)</t>
  </si>
  <si>
    <t>2022. december           (18.270,- Ft/hó + 9.135,- Ft/hó) x 1 hó</t>
  </si>
  <si>
    <t>2022. december hóra             (30.000 Ft/hó)</t>
  </si>
  <si>
    <t>2023. január - november      63.600 Ft/hó x 11 hó )</t>
  </si>
  <si>
    <t>2022. december hóra    (15.000,- Ft/hó/fő)</t>
  </si>
  <si>
    <t>2023. január - november      (2 fő x 15.000 Ft/hó/fő x 11 hó)</t>
  </si>
  <si>
    <t>2022. december    146.160,- Ft/hó x 1 hó</t>
  </si>
  <si>
    <t>2023. jan-nov.       146.160,- Ft/hó x 11 hó</t>
  </si>
  <si>
    <t>2022. december     73.080,- Ft/hó x 1 hó</t>
  </si>
  <si>
    <t>2022. december hóra              12.180,- Ft/hó/fő x 10 fő x 1 hó</t>
  </si>
  <si>
    <t>7 fő dajka és 3 fő pedagógiai asszisztens részére (12.180 Ft/hó)</t>
  </si>
  <si>
    <t>Óvodapedagógusok részére (18.270 Ft/fő/hó)    15 fő</t>
  </si>
  <si>
    <t>1 fő óvodapedagógus részére (25 év után) 1992. évi XXXIII. tv. 78.§ alapján 2 havi illetménynek megfelelő (K-né Á. N.)</t>
  </si>
  <si>
    <t>1 fő nyugdíjba vonuló udvaros 1992. évi XXXIII. tv. 78.§ alapján 2 havi illetménynek megfelelő (25 év). (B. L.)</t>
  </si>
  <si>
    <t>Munkábajárás - Kristánné Ádám Natália - Borota</t>
  </si>
  <si>
    <t>7 fő dajka + 3 fő pedagógiai asszisztens</t>
  </si>
  <si>
    <t>2022. december  (260.000 Ft/hó)</t>
  </si>
  <si>
    <t>Homokozó eszközök, játékok, sporteszközök ,komposztáló, esővízgyűjtő</t>
  </si>
  <si>
    <t>2023. jan. - nov. hó    116.000,- Ft/hó x 11 hó</t>
  </si>
  <si>
    <t>Gyermeklánc Óvoda és Bölcsőde, Család- és Gyermekjóléti Központ 2023. évi tervezett bevételei</t>
  </si>
  <si>
    <t>Gyermeklánc Óvoda és Bölcsőde, Család- és Gyermekjóléti Központ                                                                                                      2023. évi tervezett kiadások</t>
  </si>
  <si>
    <t xml:space="preserve">  2023.01.01.-2023.12.31.</t>
  </si>
  <si>
    <t>2023. évi kiadás az elszámolásból adódó visszafizetési kötelezettség (fel nem használt támogatás)</t>
  </si>
  <si>
    <t>Szociális hozzájárulási adó (2022. decemberi illetmények után 13%)</t>
  </si>
  <si>
    <t>Szociális hozzájárulási adó (2023. január 1-től is maradt 13,0%)</t>
  </si>
  <si>
    <t>2023. évi éves működési támogatás:</t>
  </si>
  <si>
    <t>Lásd: 2022. évi XXV. tv. 9. melléklet 5.1 jogcím</t>
  </si>
  <si>
    <t>Szoc.hj. adó  2022. december hó 13%</t>
  </si>
  <si>
    <t>Szoc.hj. adó  2023. január 1-től maradt 13%</t>
  </si>
  <si>
    <t>Szociális hozzájárulási adó (2022. dec. hóra 13%)</t>
  </si>
  <si>
    <t>Szociális hozzájárulási adó (2023.01.01-től is maradt 13%)</t>
  </si>
  <si>
    <t>Internet előfizetés 5%</t>
  </si>
  <si>
    <t>Telefon díj 27%</t>
  </si>
  <si>
    <t>Szoc.hj. adó (illetmények, pótlékok) 2022. dec. hóra 13%</t>
  </si>
  <si>
    <t>Szoc.hj. adó (illetmények, pótlékok) 2023. jan. 1-től maradt 13%</t>
  </si>
  <si>
    <t>Szoc.hj. adó (bankszámlahozzájár.) 2023. jan. 1-től maradt 13%</t>
  </si>
  <si>
    <t>2022. december hó szakmai vezető (bérjegyzék alapján)</t>
  </si>
  <si>
    <t>2022. december 4 fő esetmenedzser (108.000+116.000+179.000+26.000)</t>
  </si>
  <si>
    <t>Szoc.hj. adó (illetmények, pótlékok) 2022. dec. hó 13%</t>
  </si>
  <si>
    <t>Szoc.hj. adó (illetmények, pótlékok) 2023. jan-nov. hó 13%</t>
  </si>
  <si>
    <t>Szoc.hj. adó (készenléti, ügyeleti díj) 2022. december 13%</t>
  </si>
  <si>
    <t>Szoc.hj. adó (készenléti, ügyeleti díj) 2023. jan.-tól 13%</t>
  </si>
  <si>
    <t>Internet előfizetés 3.900,- Ft/hó) 5% Áfa</t>
  </si>
  <si>
    <t>Jogi tanácsadás (27%)</t>
  </si>
  <si>
    <t>Szaktanácsadás (27%)</t>
  </si>
  <si>
    <t>2023. jan-nov.          (18.270,- Ft/hó X 3 fő + 9.135,- Ft/hó) x 11 hó</t>
  </si>
  <si>
    <t>Szoc.hj. adó 2022. dec. havi személyi juttatások után (13%)</t>
  </si>
  <si>
    <t xml:space="preserve">Szoc.hj. adó (2022. dec. havi illetmények, bérkompenzáció) </t>
  </si>
  <si>
    <t>Szoc.hj. adó (2022. dec. havi pótlékok)</t>
  </si>
  <si>
    <t>Szoc.hj. adó (2022. dec. havi megbízási díjak)</t>
  </si>
  <si>
    <t>Szoc.hj. adó 2023. jan. -nov. havi személyi juttatások után (13%)</t>
  </si>
  <si>
    <t xml:space="preserve">Szoc.hj. adó (2023. jan. -nov. havi illetmények, bérkompenzáció) </t>
  </si>
  <si>
    <t>Szoc.hj. adó (2023. jan. - nov. havi pótlékok)</t>
  </si>
  <si>
    <t>Szoc.hj. adó (2023. jan.  - nov. havi megbízási díjak)</t>
  </si>
  <si>
    <t xml:space="preserve">Fizetendő a 2023.01.01-i minimálbér 9-szerese, 48 fő x 5% = 2,4 fő </t>
  </si>
  <si>
    <t>232.000,- Ft/hó x 9 x 2,4 fő = 5.011.200,- Ft</t>
  </si>
  <si>
    <t>2023. január - november      (18.270 Ft X 15 fő X 11 hó)</t>
  </si>
  <si>
    <t>2022. december hó (18.270 Ft X 15 fő)</t>
  </si>
  <si>
    <t>2023.  jan-nov.         82.215,- Ft/hó x 11 hó   326/2013. (VIII. 30.) Korm. R. 16.§ (5b)</t>
  </si>
  <si>
    <t>2023. január - november      12.180,- Ft/hó/fő x 10 fő x 11 hó;  + K. K-né 4 hó</t>
  </si>
  <si>
    <t>1 fő nyugdíjba vonuló óvodapedagógus részére (25 év - Gyerekház) 1992. évi XXXIII. tv. 78.§ alapján 2 havi illetménynek megfelelő.</t>
  </si>
  <si>
    <t>091120  Cofog</t>
  </si>
  <si>
    <t>Munkavégzésre irányuló egyéb jogviszonyban nem saját foglalkoztatottnak fizetett juttatások</t>
  </si>
  <si>
    <t>Külsős megbízási díjak 2022. december (1 fő)</t>
  </si>
  <si>
    <t>Kiadásai mindösszesen:</t>
  </si>
  <si>
    <t>2023.  január  - november 20.000 Ft /hó x 11 hó</t>
  </si>
  <si>
    <t>1 fő szakmai vezető részére 257/2000.(XII.26.) Korm.r. 4.sz. melléklete szerint.</t>
  </si>
  <si>
    <t>2022. december hó (bérjegyzék szerint, 50.000 Ft/hó)</t>
  </si>
  <si>
    <t>1 fő szakmai vezető részére 257/2000.(XII.26.) Korm.r. 4. sz. melléklete szerint</t>
  </si>
  <si>
    <t xml:space="preserve">Rendszergazda díja 5.000 Ft/hó/gép x 6 gép </t>
  </si>
  <si>
    <t>Rendszergazda díja 5.000 ,- Ft/hó /gép X 2 gép</t>
  </si>
  <si>
    <t xml:space="preserve">Rendszergazda díja 5.000 ,- Ft/hó  x 10 db szám.gép </t>
  </si>
  <si>
    <t>Rendszergazda 5.000 ,- Ft/hó  x 4 db szám.gép</t>
  </si>
  <si>
    <t>Rendszergazda díja 5.000 ,- Ft/hó x 2 szám.gép (áfa-mentes)</t>
  </si>
  <si>
    <t>2 fő részmunkaidős (napi 4-4 óra) technikai dolgozó illetménye</t>
  </si>
  <si>
    <t>2023. jan. - nov. (6.900 Ft  X 2 fő) x 11 hó + 2 X 6.900 Ft (Új udvaros)</t>
  </si>
  <si>
    <t>Bérkompenzáció (1 fő technikai dolgozó részére)</t>
  </si>
  <si>
    <t>2023. jan - nov. 74.100 Ft/ hó x 11 hó + 2 hó új udvaros</t>
  </si>
  <si>
    <t>Óvodai nevelés (SNI)</t>
  </si>
  <si>
    <t>Szoc.hj. adó  13% (2022. december hó)</t>
  </si>
  <si>
    <t>Szoc.hj. adó  13% (2023. január - november)</t>
  </si>
  <si>
    <t>Külsős mb. díjak 2022. december hó (3 fő)</t>
  </si>
  <si>
    <t>Külsős mb. díjak 2023. jan. 01. - június 15.,                                 (3 fő: gyógytestnevelő; logopédus; tanulásban akadályozott gyermekekhez gyógypedagógus)</t>
  </si>
  <si>
    <t>Külsős mb. díjak 2023. 09.01 -11.30.                                            (3 fő: gyógytestnevelő; logopédus; tanulásban akadályozott gyermekekhez gyógypedagógus)</t>
  </si>
  <si>
    <t>Sajátos nevelési igényű gyermekek óvodai nevelésének, ellátásának szakmai feladatai</t>
  </si>
  <si>
    <t>1 fő részmunkaidős (napi 2 óra) technikai dolgozó</t>
  </si>
  <si>
    <t>2023. jan - nov. (1.300 Ft x 11 hó + 2 x 1.300 Ft)</t>
  </si>
  <si>
    <t xml:space="preserve">2022.  december hóra 137.639 Ft /hó </t>
  </si>
  <si>
    <t xml:space="preserve">2023.  jan - nov. (144.060+96.996 Ft /hó x 11 hó)  </t>
  </si>
  <si>
    <t>2023. jan. - nov.  (296.400 Ft/hó x 7 fő x 11 hó)    +   K. K-né felmentési ideje 2023. 01. 01 -04. 30. (4 X 296.400 Ft)</t>
  </si>
  <si>
    <t xml:space="preserve"> 1 fő udvaros 2023. jan. - nov. (148.200 Ft/hó X 11 hó) </t>
  </si>
  <si>
    <t>1 fő udvaros 2023. jan. - okt. (2023.10. 26-án nyugdíjba megy)</t>
  </si>
  <si>
    <t>1 fő új udvaros 2023.09. 01-től (nyugdíjba menő helyett)</t>
  </si>
  <si>
    <t>Belső mb. díjak 2023. jan. - jún. 15., 2023. szept. - nov. (3 fő) L. E. (2023.06.15-ig 30.000,- Ft/hó, 2023.09.01-től 36.000,- Ft/hó); SZ. N. , J-né J. Cs. (2023.06.15-ig 15.000,- Ft/hó; 2023.09.01-től 18.000,- Ft/hó.)</t>
  </si>
  <si>
    <t>Belső mb. díjak 2022. december (3 fő); L. E.; SZ. N.; J-né J. Cs.</t>
  </si>
  <si>
    <t>2022. december hó (39.000,- Ft/hó x 1 hó)</t>
  </si>
  <si>
    <t>4 fő családsegítő alkalmazása napi 4 órában                                            144.117,- Ft/hó/fő (2022. december hó)</t>
  </si>
  <si>
    <t>091120</t>
  </si>
  <si>
    <t>104044</t>
  </si>
  <si>
    <t>062020 cofog</t>
  </si>
  <si>
    <t>4 fő családsegítő alkalmazása napi 4 órában                                                148.200,- Ft/hó/fő (2023.01.01-2023. 08. 31.)</t>
  </si>
  <si>
    <t>A projekt befejeződött 2022. október 31-én</t>
  </si>
  <si>
    <r>
      <rPr>
        <b/>
        <sz val="11"/>
        <rFont val="Calibri"/>
        <family val="2"/>
        <scheme val="minor"/>
      </rPr>
      <t xml:space="preserve">Bérkompenzáció </t>
    </r>
    <r>
      <rPr>
        <sz val="11"/>
        <rFont val="Calibri"/>
        <family val="2"/>
        <scheme val="minor"/>
      </rPr>
      <t>(2 fő részmunkaidős technikai dolgozó részére)</t>
    </r>
  </si>
  <si>
    <r>
      <rPr>
        <b/>
        <sz val="11"/>
        <rFont val="Calibri"/>
        <family val="2"/>
        <scheme val="minor"/>
      </rPr>
      <t>Ágazati szakmai pótlék</t>
    </r>
    <r>
      <rPr>
        <sz val="11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a 326/2013.(VIII.30.) Korm. rendelet 16.§ (11) bek. alapján a pedagógus előmeneteli rendszer hatálya alá tartozóknak (mértéke: 2021-ben a pótlék és illetményeltérítés nélkül számított illetmény 10%-a, 2022. jan. 1-től ezen pótlék mértéke 20% ; 2023. január 1-jétől a mérték 32%.</t>
    </r>
  </si>
  <si>
    <r>
      <rPr>
        <b/>
        <sz val="11"/>
        <rFont val="Calibri"/>
        <family val="2"/>
        <scheme val="minor"/>
      </rPr>
      <t>Munkaközösségvezetői pótlék</t>
    </r>
    <r>
      <rPr>
        <sz val="11"/>
        <rFont val="Calibri"/>
        <family val="2"/>
        <scheme val="minor"/>
      </rPr>
      <t xml:space="preserve"> (Cs-né K. Zs., M-né T. M. ); </t>
    </r>
    <r>
      <rPr>
        <b/>
        <sz val="11"/>
        <rFont val="Calibri"/>
        <family val="2"/>
        <scheme val="minor"/>
      </rPr>
      <t>Gyakornokok mentorálása</t>
    </r>
    <r>
      <rPr>
        <sz val="11"/>
        <rFont val="Calibri"/>
        <family val="2"/>
        <scheme val="minor"/>
      </rPr>
      <t xml:space="preserve"> 2 fő (K-né M. H. ; P. K.)</t>
    </r>
  </si>
  <si>
    <r>
      <rPr>
        <b/>
        <sz val="11"/>
        <rFont val="Calibri"/>
        <family val="2"/>
        <scheme val="minor"/>
      </rPr>
      <t>Egyéb pótlék</t>
    </r>
    <r>
      <rPr>
        <sz val="11"/>
        <rFont val="Calibri"/>
        <family val="2"/>
        <scheme val="minor"/>
      </rPr>
      <t xml:space="preserve"> (1 fő óvodatitkár részére)</t>
    </r>
  </si>
  <si>
    <r>
      <rPr>
        <b/>
        <sz val="11"/>
        <rFont val="Calibri"/>
        <family val="2"/>
        <scheme val="minor"/>
      </rPr>
      <t>Egyéb pótlék</t>
    </r>
    <r>
      <rPr>
        <sz val="11"/>
        <rFont val="Calibri"/>
        <family val="2"/>
        <scheme val="minor"/>
      </rPr>
      <t xml:space="preserve"> (2 fő technikai dolgozó részére)</t>
    </r>
  </si>
  <si>
    <r>
      <rPr>
        <b/>
        <sz val="11"/>
        <rFont val="Calibri"/>
        <family val="2"/>
        <scheme val="minor"/>
      </rPr>
      <t>Intézményvezetői pótlék</t>
    </r>
    <r>
      <rPr>
        <sz val="11"/>
        <rFont val="Calibri"/>
        <family val="2"/>
        <scheme val="minor"/>
      </rPr>
      <t xml:space="preserve">  </t>
    </r>
  </si>
  <si>
    <r>
      <rPr>
        <b/>
        <sz val="11"/>
        <rFont val="Calibri"/>
        <family val="2"/>
        <scheme val="minor"/>
      </rPr>
      <t>Intézményvezető-helyettesi pótlék</t>
    </r>
    <r>
      <rPr>
        <sz val="11"/>
        <rFont val="Calibri"/>
        <family val="2"/>
        <scheme val="minor"/>
      </rPr>
      <t xml:space="preserve">         </t>
    </r>
  </si>
  <si>
    <r>
      <rPr>
        <b/>
        <sz val="11"/>
        <rFont val="Calibri"/>
        <family val="2"/>
        <scheme val="minor"/>
      </rPr>
      <t>Nehéz körülmények között végzett munkáért járó pótlék</t>
    </r>
    <r>
      <rPr>
        <sz val="11"/>
        <rFont val="Calibri"/>
        <family val="2"/>
        <scheme val="minor"/>
      </rPr>
      <t xml:space="preserve"> a 326/2013.(VIII.30.) Korm. rendelet 32.§ (6) bek. alapján</t>
    </r>
  </si>
  <si>
    <r>
      <rPr>
        <b/>
        <sz val="11"/>
        <rFont val="Calibri"/>
        <family val="2"/>
        <scheme val="minor"/>
      </rPr>
      <t xml:space="preserve">Nehéz körülmények között végzett munkáért járó pótlék </t>
    </r>
    <r>
      <rPr>
        <sz val="11"/>
        <rFont val="Calibri"/>
        <family val="2"/>
        <scheme val="minor"/>
      </rPr>
      <t>a 326/2013.(VIII.30.) Korm. rendelet 16.§ (8) bek. a) alapján</t>
    </r>
  </si>
  <si>
    <t>Külsős mb. díjak 2023.01.01-06.15.  (1 fő; német, 15.000,- Ft/hó)</t>
  </si>
  <si>
    <t>Külsős mb. díjak 2023. 09.01 -11.30.  (1 fő;  német, 15.000,- Ft/hó)</t>
  </si>
  <si>
    <r>
      <rPr>
        <b/>
        <sz val="11"/>
        <rFont val="Calibri"/>
        <family val="2"/>
        <scheme val="minor"/>
      </rPr>
      <t>Bölcsődei pótlék</t>
    </r>
    <r>
      <rPr>
        <sz val="11"/>
        <rFont val="Calibri"/>
        <family val="2"/>
        <scheme val="minor"/>
      </rPr>
      <t xml:space="preserve"> a 257/2000.(XII.26.)Korm. r. 6. sz. melléklet</t>
    </r>
  </si>
  <si>
    <r>
      <rPr>
        <b/>
        <sz val="11"/>
        <rFont val="Calibri"/>
        <family val="2"/>
        <scheme val="minor"/>
      </rPr>
      <t>Helyettesítési pótlék</t>
    </r>
    <r>
      <rPr>
        <sz val="11"/>
        <rFont val="Calibri"/>
        <family val="2"/>
        <scheme val="minor"/>
      </rPr>
      <t xml:space="preserve"> a 257/2000.(XII.26.)Korm. r. 15.§ (10) bek.</t>
    </r>
  </si>
  <si>
    <r>
      <rPr>
        <b/>
        <sz val="11"/>
        <rFont val="Calibri"/>
        <family val="2"/>
        <scheme val="minor"/>
      </rPr>
      <t>Ágazati szakmai pótlék</t>
    </r>
    <r>
      <rPr>
        <sz val="11"/>
        <rFont val="Calibri"/>
        <family val="2"/>
        <scheme val="minor"/>
      </rPr>
      <t xml:space="preserve"> a 326/2013.(VIII.30.)Korm. r. 16.§ (11) bek. alapján</t>
    </r>
  </si>
  <si>
    <t>2023.  január  - november 105.235 Ft /hó x 11 hó</t>
  </si>
  <si>
    <t>Internetelőfizetés 3.900 ft/ hó Áfa 5%!!!!</t>
  </si>
  <si>
    <t>Telefondíj (2.000 Ft/hó) Áfa 27%!!!!</t>
  </si>
  <si>
    <t xml:space="preserve">Pszichológus (heti 10 óra; 7000 ft/ó) 40 óra/hó     </t>
  </si>
  <si>
    <t xml:space="preserve">Jogi tanácsadás (heti 1 óra; 7000 Ft/ó)         </t>
  </si>
  <si>
    <t>Táppénzhozzájárulás (2022. dec. hó = 33.522,- Ft)</t>
  </si>
  <si>
    <t xml:space="preserve">2023. január - november    (4 fő x 296400,- Ft/hó) x 11 hó                                                                               </t>
  </si>
  <si>
    <r>
      <t xml:space="preserve">Munkábajárás </t>
    </r>
    <r>
      <rPr>
        <sz val="10"/>
        <rFont val="Calibri"/>
        <family val="2"/>
        <scheme val="minor"/>
      </rPr>
      <t>(Patai I. Balotasz., Balogh A. Kkhalas, Perák Zs.  Tompa)</t>
    </r>
  </si>
  <si>
    <t>104044 cofog Biztos Kezdet Nyitnikék Gyerekház</t>
  </si>
  <si>
    <r>
      <rPr>
        <b/>
        <i/>
        <sz val="11"/>
        <rFont val="Calibri"/>
        <family val="2"/>
        <charset val="238"/>
        <scheme val="minor"/>
      </rPr>
      <t>Egyéb pótlék</t>
    </r>
    <r>
      <rPr>
        <i/>
        <sz val="11"/>
        <rFont val="Calibri"/>
        <family val="2"/>
        <charset val="238"/>
        <scheme val="minor"/>
      </rPr>
      <t xml:space="preserve"> 1 fő (gyerekház vezető) részére  (2023.01.01-től 30.000 Ft/hó)</t>
    </r>
  </si>
  <si>
    <r>
      <rPr>
        <b/>
        <i/>
        <sz val="11"/>
        <rFont val="Calibri"/>
        <family val="2"/>
        <charset val="238"/>
        <scheme val="minor"/>
      </rPr>
      <t>Munkáltatói döntésen alapuló illetmény</t>
    </r>
    <r>
      <rPr>
        <i/>
        <sz val="11"/>
        <rFont val="Calibri"/>
        <family val="2"/>
        <charset val="238"/>
        <scheme val="minor"/>
      </rPr>
      <t xml:space="preserve"> 1 fő (gyerekház vezető) részére  </t>
    </r>
  </si>
  <si>
    <r>
      <rPr>
        <b/>
        <i/>
        <sz val="11"/>
        <rFont val="Calibri"/>
        <family val="2"/>
        <charset val="238"/>
        <scheme val="minor"/>
      </rPr>
      <t>Munkáltatói döntésen alapuló illetmény</t>
    </r>
    <r>
      <rPr>
        <i/>
        <sz val="11"/>
        <rFont val="Calibri"/>
        <family val="2"/>
        <charset val="238"/>
        <scheme val="minor"/>
      </rPr>
      <t xml:space="preserve"> 1 fő munkatárs részére  </t>
    </r>
  </si>
  <si>
    <r>
      <rPr>
        <b/>
        <i/>
        <sz val="11"/>
        <rFont val="Calibri"/>
        <family val="2"/>
        <charset val="238"/>
        <scheme val="minor"/>
      </rPr>
      <t>Ágazati pótlék</t>
    </r>
    <r>
      <rPr>
        <i/>
        <sz val="11"/>
        <rFont val="Calibri"/>
        <family val="2"/>
        <charset val="238"/>
        <scheme val="minor"/>
      </rPr>
      <t xml:space="preserve"> 2 fő részére 326/2013. (VIII.30.) Korm r. 16.§ (11) 2023.01.01-től 32%</t>
    </r>
  </si>
  <si>
    <t>4 fő családsegítő   alkalmazása       148.200Ft/hó/fő</t>
  </si>
  <si>
    <t>2023. január - március 17 fő x 64 nap x 630,- Ft =</t>
  </si>
  <si>
    <t>2023. április - december 17 fő x 156 nap x 725,- Ft =</t>
  </si>
  <si>
    <t>2023. január - március 8 fő x 64 nap x 730,- Ft =</t>
  </si>
  <si>
    <t>2023. április - december 8 fő x 166 nap x 840,- Ft =</t>
  </si>
  <si>
    <r>
      <rPr>
        <b/>
        <sz val="11"/>
        <rFont val="Calibri"/>
        <family val="2"/>
        <charset val="238"/>
        <scheme val="minor"/>
      </rPr>
      <t xml:space="preserve">Üzemeltetési anyagok </t>
    </r>
    <r>
      <rPr>
        <sz val="10"/>
        <rFont val="Calibri"/>
        <family val="2"/>
        <charset val="238"/>
        <scheme val="minor"/>
      </rPr>
      <t>(étkeztetéshez kapcsolódó, 1 éven belül elhasználódó eszközök)</t>
    </r>
  </si>
  <si>
    <t xml:space="preserve">2023. január - március                                                                        </t>
  </si>
  <si>
    <t>ingyenesen étkezők 114 fő x64 nap x 630,- Ft x 1,82</t>
  </si>
  <si>
    <t>teljes árat fizetők 17 fő x 64 nap x 630,- x 1,82</t>
  </si>
  <si>
    <t xml:space="preserve">2023. április - december                                                                        </t>
  </si>
  <si>
    <t>ingyenesen étkezők 114 fő x 156 nap x 725,- Ft x 1,82</t>
  </si>
  <si>
    <t>teljes árat fizetők 17 fő x 156 nap x 725,- x 1,82</t>
  </si>
  <si>
    <t>Szállítási díj 4.000 ,- Ft/nap  220 nap</t>
  </si>
  <si>
    <t>ingyenesen étkezők 125 fő x …... nap x …..........,- Ft/adag</t>
  </si>
  <si>
    <t>teljes árat fizetők 7 fő x ….... nap x …................,- Ft/adag</t>
  </si>
  <si>
    <t>ingyenesen étkezők 14 fő x 64 nap x 730,- Ft x 1,82</t>
  </si>
  <si>
    <t>teljes árat fizetők 8 fő x 64 nap x 730,- x 1,82</t>
  </si>
  <si>
    <t>ingyenesen étkezők 14 fő x 166 nap x 840,- Ft x 1,82</t>
  </si>
  <si>
    <t>teljes árat fizetők 8 fő x 166 nap x 840,- x 1,82</t>
  </si>
  <si>
    <t>Szállítási díj 2.000 ,- Ft/nap  230 nap</t>
  </si>
  <si>
    <t>ingyenesen étkezők 6 fő x 168 nap x …............,- Ft/adag</t>
  </si>
  <si>
    <t>teljes árat fizetők 5 fő x 168 nap x …...........,- Ft/adag</t>
  </si>
  <si>
    <r>
      <rPr>
        <b/>
        <sz val="11"/>
        <color theme="1"/>
        <rFont val="Calibri"/>
        <family val="2"/>
        <charset val="238"/>
        <scheme val="minor"/>
      </rPr>
      <t xml:space="preserve">Üzemeltetési anyagok </t>
    </r>
    <r>
      <rPr>
        <sz val="10"/>
        <color theme="1"/>
        <rFont val="Calibri"/>
        <family val="2"/>
        <charset val="238"/>
        <scheme val="minor"/>
      </rPr>
      <t>(étkeztetéshez kapcsolódó, 1 éven belül elhasználódó eszközök)</t>
    </r>
  </si>
  <si>
    <r>
      <rPr>
        <b/>
        <sz val="11"/>
        <color theme="1"/>
        <rFont val="Calibri"/>
        <family val="2"/>
        <charset val="238"/>
        <scheme val="minor"/>
      </rPr>
      <t>Informatikai szolgáltatás</t>
    </r>
    <r>
      <rPr>
        <sz val="11"/>
        <color theme="1"/>
        <rFont val="Calibri"/>
        <family val="2"/>
        <scheme val="minor"/>
      </rPr>
      <t xml:space="preserve"> (Menzasoft program díja 2019. óta 1.960 Ft/hó, a szolgáltató nem Áfa-alany)</t>
    </r>
  </si>
  <si>
    <t>2023. évre a terv várható inflációs emelés miatt 2.400 Ft/hó</t>
  </si>
  <si>
    <t>2022. év végi bérkiegészítés</t>
  </si>
  <si>
    <t>Foglalkoztatottak egyéb személyi juttatásai</t>
  </si>
  <si>
    <t>2022. év végi bérkiegészítés járuléka</t>
  </si>
  <si>
    <t>018030</t>
  </si>
  <si>
    <t>Támogatási célú finanszírozási műveletek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</si>
</sst>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F_t_-;\-* #,##0.00\ _F_t_-;_-* &quot;-&quot;??\ _F_t_-;_-@_-"/>
    <numFmt numFmtId="164" formatCode="#,##0\ &quot;Ft&quot;"/>
    <numFmt numFmtId="165" formatCode="#,##0\ _F_t"/>
    <numFmt numFmtId="166" formatCode="#,##0.0\ &quot;Ft&quot;"/>
    <numFmt numFmtId="167" formatCode="#,##0.00\ &quot;Ft&quot;"/>
    <numFmt numFmtId="168" formatCode="#,##0.00\ _F_t"/>
    <numFmt numFmtId="169" formatCode="#,##0.000\ &quot;Ft&quot;"/>
    <numFmt numFmtId="170" formatCode="_-* #,##0\ _F_t_-;\-* #,##0\ _F_t_-;_-* &quot;-&quot;??\ _F_t_-;_-@_-"/>
  </numFmts>
  <fonts count="8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i/>
      <sz val="11"/>
      <color rgb="FF0070C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rgb="FF00B0F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i/>
      <sz val="11"/>
      <color theme="3" tint="0.39994506668294322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theme="7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i/>
      <sz val="12"/>
      <color theme="3" tint="0.39997558519241921"/>
      <name val="Calibri"/>
      <family val="2"/>
      <charset val="238"/>
      <scheme val="minor"/>
    </font>
    <font>
      <b/>
      <i/>
      <sz val="11"/>
      <color rgb="FF00B0F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rgb="FF00B0F0"/>
      <name val="Calibri"/>
      <family val="2"/>
      <charset val="238"/>
      <scheme val="minor"/>
    </font>
    <font>
      <b/>
      <sz val="13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1"/>
      <color theme="4" tint="-0.249977111117893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theme="4"/>
      <name val="Calibri"/>
      <family val="2"/>
      <charset val="238"/>
      <scheme val="minor"/>
    </font>
    <font>
      <b/>
      <i/>
      <sz val="11"/>
      <color theme="3" tint="0.39994506668294322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sz val="13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2"/>
      <color rgb="FF0070C0"/>
      <name val="Calibri"/>
      <family val="2"/>
      <charset val="238"/>
      <scheme val="minor"/>
    </font>
    <font>
      <b/>
      <sz val="16"/>
      <color rgb="FF7030A0"/>
      <name val="Calibri"/>
      <family val="2"/>
      <charset val="238"/>
      <scheme val="minor"/>
    </font>
    <font>
      <b/>
      <i/>
      <sz val="11"/>
      <color theme="5" tint="-0.249977111117893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C0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b/>
      <i/>
      <sz val="10"/>
      <color rgb="FF00B0F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auto="1"/>
        <bgColor theme="0"/>
      </patternFill>
    </fill>
  </fills>
  <borders count="6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29">
    <xf numFmtId="0" fontId="0" fillId="0" borderId="0" xfId="0"/>
    <xf numFmtId="0" fontId="11" fillId="3" borderId="0" xfId="0" applyFont="1" applyFill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right"/>
    </xf>
    <xf numFmtId="0" fontId="14" fillId="0" borderId="4" xfId="0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13" fillId="0" borderId="0" xfId="0" applyFont="1"/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0" fillId="0" borderId="0" xfId="0" applyNumberFormat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164" fontId="15" fillId="0" borderId="8" xfId="0" applyNumberFormat="1" applyFont="1" applyBorder="1" applyAlignment="1">
      <alignment horizontal="center" vertical="center"/>
    </xf>
    <xf numFmtId="164" fontId="15" fillId="0" borderId="0" xfId="0" applyNumberFormat="1" applyFont="1"/>
    <xf numFmtId="0" fontId="15" fillId="0" borderId="0" xfId="0" applyFont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4" fontId="0" fillId="5" borderId="8" xfId="0" applyNumberForma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 wrapText="1"/>
    </xf>
    <xf numFmtId="164" fontId="0" fillId="6" borderId="8" xfId="0" applyNumberFormat="1" applyFill="1" applyBorder="1" applyAlignment="1">
      <alignment horizontal="center" vertical="center"/>
    </xf>
    <xf numFmtId="164" fontId="17" fillId="0" borderId="8" xfId="0" applyNumberFormat="1" applyFont="1" applyBorder="1" applyAlignment="1">
      <alignment horizontal="center" vertical="center"/>
    </xf>
    <xf numFmtId="164" fontId="17" fillId="0" borderId="0" xfId="0" applyNumberFormat="1" applyFont="1"/>
    <xf numFmtId="0" fontId="17" fillId="0" borderId="0" xfId="0" applyFont="1"/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 wrapText="1"/>
    </xf>
    <xf numFmtId="164" fontId="0" fillId="7" borderId="8" xfId="0" applyNumberForma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164" fontId="19" fillId="6" borderId="8" xfId="0" applyNumberFormat="1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164" fontId="0" fillId="8" borderId="8" xfId="0" applyNumberForma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horizontal="center" vertical="center"/>
    </xf>
    <xf numFmtId="164" fontId="20" fillId="8" borderId="8" xfId="0" applyNumberFormat="1" applyFont="1" applyFill="1" applyBorder="1" applyAlignment="1">
      <alignment horizontal="center" vertical="center"/>
    </xf>
    <xf numFmtId="164" fontId="20" fillId="0" borderId="0" xfId="0" applyNumberFormat="1" applyFont="1"/>
    <xf numFmtId="0" fontId="20" fillId="0" borderId="0" xfId="0" applyFont="1"/>
    <xf numFmtId="0" fontId="0" fillId="8" borderId="8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left" vertical="center" wrapText="1"/>
    </xf>
    <xf numFmtId="0" fontId="0" fillId="9" borderId="7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 wrapText="1"/>
    </xf>
    <xf numFmtId="164" fontId="0" fillId="9" borderId="8" xfId="0" applyNumberFormat="1" applyFill="1" applyBorder="1" applyAlignment="1">
      <alignment horizontal="center" vertical="center"/>
    </xf>
    <xf numFmtId="164" fontId="22" fillId="0" borderId="8" xfId="0" applyNumberFormat="1" applyFont="1" applyBorder="1" applyAlignment="1">
      <alignment horizontal="center" vertical="center"/>
    </xf>
    <xf numFmtId="164" fontId="23" fillId="0" borderId="13" xfId="0" applyNumberFormat="1" applyFont="1" applyBorder="1" applyAlignment="1">
      <alignment horizontal="center" vertical="center"/>
    </xf>
    <xf numFmtId="164" fontId="12" fillId="0" borderId="0" xfId="0" applyNumberFormat="1" applyFont="1"/>
    <xf numFmtId="0" fontId="12" fillId="0" borderId="0" xfId="0" applyFont="1" applyAlignment="1">
      <alignment horizontal="right"/>
    </xf>
    <xf numFmtId="164" fontId="12" fillId="0" borderId="14" xfId="0" applyNumberFormat="1" applyFont="1" applyBorder="1" applyAlignment="1">
      <alignment horizontal="center" vertical="center"/>
    </xf>
    <xf numFmtId="165" fontId="12" fillId="0" borderId="0" xfId="0" applyNumberFormat="1" applyFont="1"/>
    <xf numFmtId="0" fontId="24" fillId="0" borderId="0" xfId="0" applyFont="1" applyAlignment="1">
      <alignment horizontal="right"/>
    </xf>
    <xf numFmtId="0" fontId="23" fillId="0" borderId="4" xfId="0" applyFont="1" applyBorder="1" applyAlignment="1">
      <alignment horizontal="center" vertical="center"/>
    </xf>
    <xf numFmtId="165" fontId="0" fillId="0" borderId="0" xfId="0" applyNumberFormat="1"/>
    <xf numFmtId="165" fontId="10" fillId="0" borderId="0" xfId="0" applyNumberFormat="1" applyFont="1" applyAlignment="1">
      <alignment horizontal="center"/>
    </xf>
    <xf numFmtId="165" fontId="15" fillId="0" borderId="0" xfId="0" applyNumberFormat="1" applyFont="1"/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164" fontId="0" fillId="10" borderId="8" xfId="0" applyNumberFormat="1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164" fontId="0" fillId="11" borderId="8" xfId="0" applyNumberFormat="1" applyFill="1" applyBorder="1" applyAlignment="1">
      <alignment horizontal="center" vertical="center"/>
    </xf>
    <xf numFmtId="164" fontId="23" fillId="0" borderId="17" xfId="0" applyNumberFormat="1" applyFont="1" applyBorder="1" applyAlignment="1">
      <alignment horizontal="center" vertical="center"/>
    </xf>
    <xf numFmtId="164" fontId="12" fillId="0" borderId="0" xfId="1" applyNumberFormat="1" applyFont="1" applyFill="1" applyBorder="1"/>
    <xf numFmtId="0" fontId="23" fillId="0" borderId="0" xfId="0" applyFont="1" applyAlignment="1">
      <alignment horizontal="right"/>
    </xf>
    <xf numFmtId="164" fontId="23" fillId="0" borderId="0" xfId="0" applyNumberFormat="1" applyFont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164" fontId="18" fillId="0" borderId="8" xfId="0" applyNumberFormat="1" applyFont="1" applyBorder="1" applyAlignment="1">
      <alignment horizontal="center" vertical="center"/>
    </xf>
    <xf numFmtId="0" fontId="18" fillId="9" borderId="7" xfId="0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164" fontId="18" fillId="9" borderId="8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164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14" fillId="0" borderId="18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wrapText="1"/>
    </xf>
    <xf numFmtId="164" fontId="0" fillId="0" borderId="8" xfId="0" applyNumberFormat="1" applyBorder="1"/>
    <xf numFmtId="0" fontId="0" fillId="0" borderId="8" xfId="0" applyBorder="1" applyAlignment="1">
      <alignment horizontal="center"/>
    </xf>
    <xf numFmtId="164" fontId="26" fillId="0" borderId="8" xfId="0" applyNumberFormat="1" applyFont="1" applyBorder="1"/>
    <xf numFmtId="0" fontId="0" fillId="12" borderId="7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164" fontId="0" fillId="12" borderId="8" xfId="0" applyNumberFormat="1" applyFill="1" applyBorder="1"/>
    <xf numFmtId="0" fontId="20" fillId="0" borderId="8" xfId="0" applyFont="1" applyBorder="1" applyAlignment="1">
      <alignment horizontal="center" wrapText="1"/>
    </xf>
    <xf numFmtId="164" fontId="20" fillId="0" borderId="8" xfId="0" applyNumberFormat="1" applyFon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9" borderId="7" xfId="0" applyFill="1" applyBorder="1" applyAlignment="1">
      <alignment horizontal="center"/>
    </xf>
    <xf numFmtId="164" fontId="0" fillId="9" borderId="8" xfId="0" applyNumberFormat="1" applyFill="1" applyBorder="1" applyAlignment="1">
      <alignment horizontal="right" vertical="center"/>
    </xf>
    <xf numFmtId="0" fontId="0" fillId="12" borderId="8" xfId="0" applyFill="1" applyBorder="1" applyAlignment="1">
      <alignment horizontal="center" vertical="center" wrapText="1"/>
    </xf>
    <xf numFmtId="164" fontId="0" fillId="12" borderId="8" xfId="0" applyNumberFormat="1" applyFill="1" applyBorder="1" applyAlignment="1">
      <alignment horizontal="right" vertical="center"/>
    </xf>
    <xf numFmtId="164" fontId="27" fillId="0" borderId="8" xfId="0" applyNumberFormat="1" applyFont="1" applyBorder="1"/>
    <xf numFmtId="164" fontId="8" fillId="0" borderId="8" xfId="0" applyNumberFormat="1" applyFont="1" applyBorder="1" applyAlignment="1">
      <alignment horizontal="right" vertical="center"/>
    </xf>
    <xf numFmtId="0" fontId="18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164" fontId="18" fillId="0" borderId="8" xfId="0" applyNumberFormat="1" applyFont="1" applyBorder="1" applyAlignment="1">
      <alignment horizontal="right" vertical="center"/>
    </xf>
    <xf numFmtId="164" fontId="8" fillId="9" borderId="8" xfId="0" applyNumberFormat="1" applyFont="1" applyFill="1" applyBorder="1" applyAlignment="1">
      <alignment horizontal="right" vertical="center"/>
    </xf>
    <xf numFmtId="164" fontId="27" fillId="0" borderId="8" xfId="0" applyNumberFormat="1" applyFont="1" applyBorder="1" applyAlignment="1">
      <alignment horizontal="right" vertical="center"/>
    </xf>
    <xf numFmtId="164" fontId="0" fillId="9" borderId="8" xfId="0" applyNumberFormat="1" applyFill="1" applyBorder="1"/>
    <xf numFmtId="0" fontId="8" fillId="8" borderId="7" xfId="0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 wrapText="1"/>
    </xf>
    <xf numFmtId="164" fontId="8" fillId="8" borderId="8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0" fillId="8" borderId="7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164" fontId="0" fillId="8" borderId="8" xfId="0" applyNumberFormat="1" applyFill="1" applyBorder="1"/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164" fontId="20" fillId="0" borderId="8" xfId="0" applyNumberFormat="1" applyFont="1" applyBorder="1"/>
    <xf numFmtId="0" fontId="10" fillId="9" borderId="8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 vertical="center" wrapText="1"/>
    </xf>
    <xf numFmtId="164" fontId="0" fillId="5" borderId="8" xfId="0" applyNumberFormat="1" applyFill="1" applyBorder="1"/>
    <xf numFmtId="0" fontId="20" fillId="8" borderId="8" xfId="0" applyFont="1" applyFill="1" applyBorder="1" applyAlignment="1">
      <alignment horizontal="center" vertical="center" wrapText="1"/>
    </xf>
    <xf numFmtId="164" fontId="20" fillId="8" borderId="8" xfId="0" applyNumberFormat="1" applyFont="1" applyFill="1" applyBorder="1"/>
    <xf numFmtId="164" fontId="28" fillId="0" borderId="8" xfId="0" applyNumberFormat="1" applyFont="1" applyBorder="1"/>
    <xf numFmtId="0" fontId="21" fillId="0" borderId="8" xfId="0" applyFont="1" applyBorder="1" applyAlignment="1">
      <alignment horizontal="center" vertical="center" wrapText="1"/>
    </xf>
    <xf numFmtId="164" fontId="29" fillId="0" borderId="8" xfId="0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8" xfId="0" applyBorder="1"/>
    <xf numFmtId="164" fontId="23" fillId="0" borderId="21" xfId="0" applyNumberFormat="1" applyFont="1" applyBorder="1"/>
    <xf numFmtId="0" fontId="10" fillId="4" borderId="22" xfId="0" applyFont="1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 wrapText="1"/>
    </xf>
    <xf numFmtId="164" fontId="15" fillId="13" borderId="8" xfId="0" applyNumberFormat="1" applyFont="1" applyFill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164" fontId="0" fillId="13" borderId="8" xfId="0" applyNumberFormat="1" applyFill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/>
    </xf>
    <xf numFmtId="164" fontId="23" fillId="4" borderId="23" xfId="0" applyNumberFormat="1" applyFont="1" applyFill="1" applyBorder="1"/>
    <xf numFmtId="0" fontId="30" fillId="0" borderId="8" xfId="0" applyFont="1" applyBorder="1"/>
    <xf numFmtId="164" fontId="0" fillId="4" borderId="8" xfId="0" applyNumberFormat="1" applyFill="1" applyBorder="1"/>
    <xf numFmtId="0" fontId="31" fillId="0" borderId="8" xfId="0" applyFont="1" applyBorder="1"/>
    <xf numFmtId="0" fontId="10" fillId="0" borderId="8" xfId="0" applyFont="1" applyBorder="1"/>
    <xf numFmtId="164" fontId="10" fillId="0" borderId="8" xfId="0" applyNumberFormat="1" applyFont="1" applyBorder="1"/>
    <xf numFmtId="164" fontId="10" fillId="4" borderId="8" xfId="0" applyNumberFormat="1" applyFont="1" applyFill="1" applyBorder="1"/>
    <xf numFmtId="0" fontId="0" fillId="0" borderId="0" xfId="0" applyAlignment="1">
      <alignment horizontal="right"/>
    </xf>
    <xf numFmtId="0" fontId="0" fillId="0" borderId="8" xfId="0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10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36" fillId="0" borderId="8" xfId="0" applyNumberFormat="1" applyFont="1" applyBorder="1"/>
    <xf numFmtId="0" fontId="33" fillId="0" borderId="0" xfId="0" applyFont="1"/>
    <xf numFmtId="49" fontId="0" fillId="0" borderId="8" xfId="0" applyNumberFormat="1" applyBorder="1" applyAlignment="1">
      <alignment horizontal="center"/>
    </xf>
    <xf numFmtId="0" fontId="0" fillId="14" borderId="8" xfId="0" applyFill="1" applyBorder="1" applyAlignment="1">
      <alignment horizontal="left" vertical="center" wrapText="1"/>
    </xf>
    <xf numFmtId="164" fontId="33" fillId="0" borderId="0" xfId="0" applyNumberFormat="1" applyFont="1"/>
    <xf numFmtId="0" fontId="18" fillId="0" borderId="8" xfId="0" applyFont="1" applyBorder="1" applyAlignment="1">
      <alignment horizontal="left" vertical="center"/>
    </xf>
    <xf numFmtId="164" fontId="0" fillId="14" borderId="8" xfId="0" applyNumberFormat="1" applyFill="1" applyBorder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0" fontId="10" fillId="0" borderId="8" xfId="0" applyFont="1" applyBorder="1" applyAlignment="1">
      <alignment horizontal="left"/>
    </xf>
    <xf numFmtId="164" fontId="38" fillId="0" borderId="8" xfId="0" applyNumberFormat="1" applyFont="1" applyBorder="1" applyAlignment="1">
      <alignment horizontal="right" vertical="center"/>
    </xf>
    <xf numFmtId="0" fontId="38" fillId="0" borderId="0" xfId="0" applyFont="1" applyAlignment="1">
      <alignment horizontal="center"/>
    </xf>
    <xf numFmtId="0" fontId="38" fillId="0" borderId="0" xfId="0" applyFont="1"/>
    <xf numFmtId="0" fontId="38" fillId="0" borderId="8" xfId="0" applyFont="1" applyBorder="1" applyAlignment="1">
      <alignment horizontal="left" vertical="center" wrapText="1"/>
    </xf>
    <xf numFmtId="0" fontId="38" fillId="0" borderId="8" xfId="0" applyFont="1" applyBorder="1" applyAlignment="1">
      <alignment horizontal="left" vertical="center"/>
    </xf>
    <xf numFmtId="0" fontId="10" fillId="0" borderId="0" xfId="0" applyFont="1"/>
    <xf numFmtId="0" fontId="0" fillId="0" borderId="0" xfId="0" applyAlignment="1">
      <alignment horizontal="center"/>
    </xf>
    <xf numFmtId="0" fontId="23" fillId="0" borderId="25" xfId="0" applyFont="1" applyBorder="1" applyAlignment="1">
      <alignment horizontal="center" vertical="center"/>
    </xf>
    <xf numFmtId="164" fontId="40" fillId="0" borderId="8" xfId="0" applyNumberFormat="1" applyFont="1" applyBorder="1" applyAlignment="1">
      <alignment horizontal="right" vertical="center"/>
    </xf>
    <xf numFmtId="0" fontId="40" fillId="0" borderId="0" xfId="0" applyFont="1"/>
    <xf numFmtId="164" fontId="10" fillId="0" borderId="8" xfId="0" applyNumberFormat="1" applyFont="1" applyBorder="1" applyAlignment="1">
      <alignment horizontal="right" vertical="center"/>
    </xf>
    <xf numFmtId="0" fontId="10" fillId="0" borderId="27" xfId="0" applyFont="1" applyBorder="1" applyAlignment="1">
      <alignment horizontal="left" vertical="center" wrapText="1"/>
    </xf>
    <xf numFmtId="164" fontId="10" fillId="0" borderId="11" xfId="0" applyNumberFormat="1" applyFon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166" fontId="0" fillId="0" borderId="11" xfId="0" applyNumberFormat="1" applyBorder="1" applyAlignment="1">
      <alignment horizontal="right" vertical="center"/>
    </xf>
    <xf numFmtId="0" fontId="41" fillId="0" borderId="8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 wrapText="1"/>
    </xf>
    <xf numFmtId="164" fontId="35" fillId="0" borderId="11" xfId="0" applyNumberFormat="1" applyFont="1" applyBorder="1" applyAlignment="1">
      <alignment horizontal="right" vertical="center"/>
    </xf>
    <xf numFmtId="164" fontId="35" fillId="0" borderId="8" xfId="0" applyNumberFormat="1" applyFont="1" applyBorder="1" applyAlignment="1">
      <alignment horizontal="right" vertical="center"/>
    </xf>
    <xf numFmtId="0" fontId="35" fillId="0" borderId="0" xfId="0" applyFont="1"/>
    <xf numFmtId="0" fontId="44" fillId="0" borderId="0" xfId="0" applyFont="1"/>
    <xf numFmtId="0" fontId="43" fillId="0" borderId="0" xfId="0" applyFont="1"/>
    <xf numFmtId="0" fontId="45" fillId="0" borderId="0" xfId="0" applyFont="1"/>
    <xf numFmtId="0" fontId="46" fillId="0" borderId="0" xfId="0" applyFont="1"/>
    <xf numFmtId="0" fontId="27" fillId="0" borderId="0" xfId="0" applyFont="1"/>
    <xf numFmtId="167" fontId="0" fillId="0" borderId="26" xfId="0" applyNumberFormat="1" applyBorder="1" applyAlignment="1">
      <alignment horizontal="right" vertical="center" wrapText="1"/>
    </xf>
    <xf numFmtId="164" fontId="23" fillId="0" borderId="0" xfId="0" applyNumberFormat="1" applyFont="1" applyAlignment="1">
      <alignment horizontal="right"/>
    </xf>
    <xf numFmtId="0" fontId="23" fillId="0" borderId="0" xfId="0" applyFont="1"/>
    <xf numFmtId="164" fontId="0" fillId="0" borderId="30" xfId="0" applyNumberFormat="1" applyBorder="1" applyAlignment="1">
      <alignment horizontal="right" vertical="center"/>
    </xf>
    <xf numFmtId="164" fontId="15" fillId="0" borderId="30" xfId="0" applyNumberFormat="1" applyFont="1" applyBorder="1" applyAlignment="1">
      <alignment horizontal="right" vertical="center"/>
    </xf>
    <xf numFmtId="164" fontId="0" fillId="14" borderId="30" xfId="0" applyNumberFormat="1" applyFill="1" applyBorder="1" applyAlignment="1">
      <alignment horizontal="right" vertical="center"/>
    </xf>
    <xf numFmtId="164" fontId="15" fillId="0" borderId="31" xfId="0" applyNumberFormat="1" applyFont="1" applyBorder="1" applyAlignment="1">
      <alignment horizontal="right" vertical="center"/>
    </xf>
    <xf numFmtId="0" fontId="0" fillId="0" borderId="33" xfId="0" applyBorder="1" applyAlignment="1">
      <alignment horizontal="center" vertical="center" wrapText="1"/>
    </xf>
    <xf numFmtId="164" fontId="10" fillId="0" borderId="30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164" fontId="27" fillId="0" borderId="30" xfId="0" applyNumberFormat="1" applyFont="1" applyBorder="1" applyAlignment="1">
      <alignment horizontal="right" vertical="center"/>
    </xf>
    <xf numFmtId="164" fontId="38" fillId="0" borderId="27" xfId="0" applyNumberFormat="1" applyFont="1" applyBorder="1" applyAlignment="1">
      <alignment horizontal="right" vertical="center"/>
    </xf>
    <xf numFmtId="168" fontId="23" fillId="0" borderId="0" xfId="0" applyNumberFormat="1" applyFont="1" applyAlignment="1">
      <alignment horizontal="center" wrapText="1"/>
    </xf>
    <xf numFmtId="168" fontId="0" fillId="0" borderId="0" xfId="0" applyNumberFormat="1"/>
    <xf numFmtId="167" fontId="0" fillId="0" borderId="27" xfId="0" applyNumberFormat="1" applyBorder="1" applyAlignment="1">
      <alignment horizontal="left" vertical="center" wrapText="1"/>
    </xf>
    <xf numFmtId="167" fontId="27" fillId="0" borderId="27" xfId="0" applyNumberFormat="1" applyFont="1" applyBorder="1" applyAlignment="1">
      <alignment horizontal="center" vertical="center" wrapText="1"/>
    </xf>
    <xf numFmtId="167" fontId="10" fillId="0" borderId="27" xfId="0" applyNumberFormat="1" applyFont="1" applyBorder="1" applyAlignment="1">
      <alignment horizontal="left" vertical="center" wrapText="1"/>
    </xf>
    <xf numFmtId="167" fontId="38" fillId="0" borderId="8" xfId="0" applyNumberFormat="1" applyFont="1" applyBorder="1" applyAlignment="1">
      <alignment horizontal="right" vertical="center"/>
    </xf>
    <xf numFmtId="167" fontId="15" fillId="0" borderId="28" xfId="0" applyNumberFormat="1" applyFont="1" applyBorder="1" applyAlignment="1">
      <alignment horizontal="center" vertical="center" wrapText="1"/>
    </xf>
    <xf numFmtId="167" fontId="15" fillId="0" borderId="27" xfId="0" applyNumberFormat="1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164" fontId="20" fillId="0" borderId="30" xfId="0" applyNumberFormat="1" applyFont="1" applyBorder="1" applyAlignment="1">
      <alignment horizontal="right" vertical="center"/>
    </xf>
    <xf numFmtId="0" fontId="47" fillId="0" borderId="33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left" vertical="center" wrapText="1"/>
    </xf>
    <xf numFmtId="167" fontId="47" fillId="0" borderId="27" xfId="0" applyNumberFormat="1" applyFont="1" applyBorder="1" applyAlignment="1">
      <alignment horizontal="left" vertical="center" wrapText="1"/>
    </xf>
    <xf numFmtId="164" fontId="47" fillId="0" borderId="30" xfId="0" applyNumberFormat="1" applyFont="1" applyBorder="1" applyAlignment="1">
      <alignment horizontal="right" vertical="center"/>
    </xf>
    <xf numFmtId="0" fontId="47" fillId="0" borderId="0" xfId="0" applyFont="1"/>
    <xf numFmtId="167" fontId="0" fillId="0" borderId="27" xfId="0" applyNumberFormat="1" applyBorder="1" applyAlignment="1">
      <alignment horizontal="right" vertical="center" wrapText="1"/>
    </xf>
    <xf numFmtId="167" fontId="15" fillId="0" borderId="26" xfId="0" applyNumberFormat="1" applyFont="1" applyBorder="1" applyAlignment="1">
      <alignment horizontal="right" vertical="center" wrapText="1"/>
    </xf>
    <xf numFmtId="164" fontId="20" fillId="0" borderId="27" xfId="0" applyNumberFormat="1" applyFont="1" applyBorder="1" applyAlignment="1">
      <alignment horizontal="right" vertical="center" wrapText="1"/>
    </xf>
    <xf numFmtId="164" fontId="47" fillId="0" borderId="27" xfId="0" applyNumberFormat="1" applyFont="1" applyBorder="1" applyAlignment="1">
      <alignment horizontal="left" vertical="center" wrapText="1"/>
    </xf>
    <xf numFmtId="164" fontId="0" fillId="0" borderId="27" xfId="0" applyNumberFormat="1" applyBorder="1" applyAlignment="1">
      <alignment horizontal="left" vertical="center" wrapText="1"/>
    </xf>
    <xf numFmtId="164" fontId="27" fillId="0" borderId="27" xfId="0" applyNumberFormat="1" applyFont="1" applyBorder="1" applyAlignment="1">
      <alignment horizontal="center" vertical="center" wrapText="1"/>
    </xf>
    <xf numFmtId="164" fontId="10" fillId="0" borderId="27" xfId="0" applyNumberFormat="1" applyFont="1" applyBorder="1" applyAlignment="1">
      <alignment horizontal="left" vertical="center" wrapText="1"/>
    </xf>
    <xf numFmtId="164" fontId="23" fillId="0" borderId="0" xfId="0" applyNumberFormat="1" applyFont="1" applyAlignment="1">
      <alignment horizontal="right" vertical="center"/>
    </xf>
    <xf numFmtId="0" fontId="38" fillId="0" borderId="27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164" fontId="45" fillId="0" borderId="40" xfId="0" applyNumberFormat="1" applyFont="1" applyBorder="1" applyAlignment="1">
      <alignment horizontal="right" vertical="center"/>
    </xf>
    <xf numFmtId="164" fontId="38" fillId="0" borderId="30" xfId="0" applyNumberFormat="1" applyFont="1" applyBorder="1" applyAlignment="1">
      <alignment horizontal="right" vertical="center"/>
    </xf>
    <xf numFmtId="0" fontId="47" fillId="0" borderId="42" xfId="0" applyFont="1" applyBorder="1" applyAlignment="1">
      <alignment horizontal="center" vertical="center" wrapText="1"/>
    </xf>
    <xf numFmtId="0" fontId="47" fillId="0" borderId="24" xfId="0" applyFont="1" applyBorder="1" applyAlignment="1">
      <alignment horizontal="left" vertical="center" wrapText="1"/>
    </xf>
    <xf numFmtId="167" fontId="47" fillId="0" borderId="37" xfId="0" applyNumberFormat="1" applyFont="1" applyBorder="1" applyAlignment="1">
      <alignment horizontal="left" vertical="center" wrapText="1"/>
    </xf>
    <xf numFmtId="164" fontId="47" fillId="0" borderId="41" xfId="0" applyNumberFormat="1" applyFont="1" applyBorder="1" applyAlignment="1">
      <alignment horizontal="right" vertical="center"/>
    </xf>
    <xf numFmtId="0" fontId="10" fillId="0" borderId="43" xfId="0" applyFont="1" applyBorder="1" applyAlignment="1">
      <alignment horizontal="center"/>
    </xf>
    <xf numFmtId="0" fontId="10" fillId="0" borderId="40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 wrapText="1"/>
    </xf>
    <xf numFmtId="0" fontId="38" fillId="0" borderId="33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/>
    </xf>
    <xf numFmtId="0" fontId="38" fillId="0" borderId="33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47" fillId="0" borderId="9" xfId="0" applyFont="1" applyBorder="1" applyAlignment="1">
      <alignment horizontal="left" vertical="center" wrapText="1"/>
    </xf>
    <xf numFmtId="167" fontId="47" fillId="0" borderId="36" xfId="0" applyNumberFormat="1" applyFont="1" applyBorder="1" applyAlignment="1">
      <alignment horizontal="left" vertical="center" wrapText="1"/>
    </xf>
    <xf numFmtId="164" fontId="47" fillId="0" borderId="49" xfId="0" applyNumberFormat="1" applyFont="1" applyBorder="1" applyAlignment="1">
      <alignment horizontal="right" vertical="center"/>
    </xf>
    <xf numFmtId="0" fontId="47" fillId="0" borderId="45" xfId="0" applyFont="1" applyBorder="1" applyAlignment="1">
      <alignment horizontal="center" vertical="center" wrapText="1"/>
    </xf>
    <xf numFmtId="164" fontId="19" fillId="0" borderId="30" xfId="0" applyNumberFormat="1" applyFont="1" applyBorder="1" applyAlignment="1">
      <alignment horizontal="right" vertical="center"/>
    </xf>
    <xf numFmtId="0" fontId="0" fillId="0" borderId="33" xfId="0" applyBorder="1" applyAlignment="1">
      <alignment horizontal="center" vertical="center"/>
    </xf>
    <xf numFmtId="0" fontId="0" fillId="14" borderId="33" xfId="0" applyFill="1" applyBorder="1" applyAlignment="1">
      <alignment horizontal="center" vertical="center"/>
    </xf>
    <xf numFmtId="167" fontId="45" fillId="0" borderId="50" xfId="0" applyNumberFormat="1" applyFont="1" applyBorder="1" applyAlignment="1">
      <alignment horizontal="center" wrapText="1"/>
    </xf>
    <xf numFmtId="164" fontId="45" fillId="0" borderId="40" xfId="0" applyNumberFormat="1" applyFont="1" applyBorder="1"/>
    <xf numFmtId="0" fontId="10" fillId="0" borderId="8" xfId="0" applyFont="1" applyBorder="1" applyAlignment="1">
      <alignment horizontal="left" wrapText="1"/>
    </xf>
    <xf numFmtId="0" fontId="0" fillId="0" borderId="20" xfId="0" applyBorder="1" applyAlignment="1">
      <alignment horizontal="center" wrapText="1"/>
    </xf>
    <xf numFmtId="164" fontId="26" fillId="0" borderId="30" xfId="0" applyNumberFormat="1" applyFont="1" applyBorder="1"/>
    <xf numFmtId="0" fontId="0" fillId="0" borderId="31" xfId="0" applyBorder="1"/>
    <xf numFmtId="0" fontId="0" fillId="0" borderId="33" xfId="0" applyBorder="1" applyAlignment="1">
      <alignment horizontal="center"/>
    </xf>
    <xf numFmtId="0" fontId="15" fillId="0" borderId="33" xfId="0" applyFont="1" applyBorder="1" applyAlignment="1">
      <alignment horizontal="center" vertical="center" wrapText="1"/>
    </xf>
    <xf numFmtId="0" fontId="0" fillId="0" borderId="46" xfId="0" applyBorder="1" applyAlignment="1">
      <alignment horizontal="center"/>
    </xf>
    <xf numFmtId="164" fontId="20" fillId="0" borderId="27" xfId="0" applyNumberFormat="1" applyFont="1" applyBorder="1" applyAlignment="1">
      <alignment horizontal="right" vertical="center"/>
    </xf>
    <xf numFmtId="164" fontId="38" fillId="0" borderId="8" xfId="0" applyNumberFormat="1" applyFont="1" applyBorder="1" applyAlignment="1">
      <alignment horizontal="right" vertical="center" wrapText="1"/>
    </xf>
    <xf numFmtId="0" fontId="10" fillId="0" borderId="11" xfId="0" applyFont="1" applyBorder="1" applyAlignment="1">
      <alignment horizontal="left" vertical="center" wrapText="1"/>
    </xf>
    <xf numFmtId="0" fontId="38" fillId="0" borderId="11" xfId="0" applyFont="1" applyBorder="1" applyAlignment="1">
      <alignment horizontal="left" vertical="center"/>
    </xf>
    <xf numFmtId="164" fontId="51" fillId="0" borderId="30" xfId="0" applyNumberFormat="1" applyFont="1" applyBorder="1" applyAlignment="1">
      <alignment horizontal="right" vertical="center"/>
    </xf>
    <xf numFmtId="164" fontId="53" fillId="0" borderId="30" xfId="0" applyNumberFormat="1" applyFont="1" applyBorder="1" applyAlignment="1">
      <alignment horizontal="right" vertical="center"/>
    </xf>
    <xf numFmtId="0" fontId="15" fillId="0" borderId="20" xfId="0" applyFont="1" applyBorder="1" applyAlignment="1">
      <alignment horizontal="center" vertical="center"/>
    </xf>
    <xf numFmtId="164" fontId="45" fillId="0" borderId="52" xfId="0" applyNumberFormat="1" applyFont="1" applyBorder="1" applyAlignment="1">
      <alignment horizontal="right"/>
    </xf>
    <xf numFmtId="0" fontId="52" fillId="0" borderId="33" xfId="0" applyFont="1" applyBorder="1" applyAlignment="1">
      <alignment horizontal="center" vertical="center" wrapText="1"/>
    </xf>
    <xf numFmtId="164" fontId="23" fillId="0" borderId="40" xfId="0" applyNumberFormat="1" applyFont="1" applyBorder="1" applyAlignment="1">
      <alignment horizontal="right" vertical="center"/>
    </xf>
    <xf numFmtId="164" fontId="33" fillId="0" borderId="30" xfId="0" applyNumberFormat="1" applyFont="1" applyBorder="1" applyAlignment="1">
      <alignment horizontal="right" vertical="center"/>
    </xf>
    <xf numFmtId="0" fontId="0" fillId="0" borderId="34" xfId="0" applyBorder="1" applyAlignment="1">
      <alignment horizontal="center" vertical="center" wrapText="1"/>
    </xf>
    <xf numFmtId="164" fontId="45" fillId="0" borderId="40" xfId="0" applyNumberFormat="1" applyFont="1" applyBorder="1" applyAlignment="1">
      <alignment horizontal="right"/>
    </xf>
    <xf numFmtId="0" fontId="38" fillId="14" borderId="8" xfId="0" applyFont="1" applyFill="1" applyBorder="1" applyAlignment="1">
      <alignment horizontal="left" vertical="center" wrapText="1"/>
    </xf>
    <xf numFmtId="0" fontId="38" fillId="14" borderId="33" xfId="0" applyFont="1" applyFill="1" applyBorder="1" applyAlignment="1">
      <alignment horizontal="center" vertical="center"/>
    </xf>
    <xf numFmtId="164" fontId="18" fillId="0" borderId="30" xfId="0" applyNumberFormat="1" applyFont="1" applyBorder="1" applyAlignment="1">
      <alignment horizontal="right" vertical="center"/>
    </xf>
    <xf numFmtId="164" fontId="42" fillId="0" borderId="30" xfId="0" applyNumberFormat="1" applyFont="1" applyBorder="1" applyAlignment="1">
      <alignment horizontal="right" vertical="center"/>
    </xf>
    <xf numFmtId="0" fontId="48" fillId="0" borderId="33" xfId="0" applyFont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164" fontId="19" fillId="0" borderId="27" xfId="0" applyNumberFormat="1" applyFont="1" applyBorder="1" applyAlignment="1">
      <alignment horizontal="right" vertical="center" wrapText="1"/>
    </xf>
    <xf numFmtId="0" fontId="19" fillId="0" borderId="0" xfId="0" applyFont="1"/>
    <xf numFmtId="0" fontId="54" fillId="0" borderId="0" xfId="0" applyFont="1"/>
    <xf numFmtId="164" fontId="19" fillId="0" borderId="0" xfId="0" applyNumberFormat="1" applyFont="1"/>
    <xf numFmtId="167" fontId="47" fillId="0" borderId="0" xfId="0" applyNumberFormat="1" applyFont="1"/>
    <xf numFmtId="164" fontId="38" fillId="0" borderId="0" xfId="0" applyNumberFormat="1" applyFont="1"/>
    <xf numFmtId="0" fontId="55" fillId="0" borderId="0" xfId="0" applyFont="1"/>
    <xf numFmtId="0" fontId="56" fillId="0" borderId="8" xfId="0" applyFont="1" applyBorder="1" applyAlignment="1">
      <alignment horizontal="center" vertical="center" wrapText="1"/>
    </xf>
    <xf numFmtId="164" fontId="56" fillId="0" borderId="8" xfId="0" applyNumberFormat="1" applyFont="1" applyBorder="1"/>
    <xf numFmtId="0" fontId="15" fillId="0" borderId="33" xfId="0" applyFont="1" applyBorder="1" applyAlignment="1">
      <alignment horizontal="center" vertical="center"/>
    </xf>
    <xf numFmtId="164" fontId="0" fillId="15" borderId="8" xfId="0" applyNumberFormat="1" applyFill="1" applyBorder="1"/>
    <xf numFmtId="0" fontId="15" fillId="0" borderId="55" xfId="0" applyFont="1" applyBorder="1" applyAlignment="1">
      <alignment horizontal="right" vertical="center"/>
    </xf>
    <xf numFmtId="0" fontId="15" fillId="0" borderId="48" xfId="0" applyFont="1" applyBorder="1" applyAlignment="1">
      <alignment horizontal="right" vertical="center"/>
    </xf>
    <xf numFmtId="164" fontId="39" fillId="0" borderId="56" xfId="0" applyNumberFormat="1" applyFont="1" applyBorder="1" applyAlignment="1">
      <alignment horizontal="right" vertical="center"/>
    </xf>
    <xf numFmtId="164" fontId="39" fillId="0" borderId="31" xfId="0" applyNumberFormat="1" applyFont="1" applyBorder="1" applyAlignment="1">
      <alignment horizontal="right" vertical="center"/>
    </xf>
    <xf numFmtId="0" fontId="15" fillId="0" borderId="26" xfId="0" applyFont="1" applyBorder="1" applyAlignment="1">
      <alignment horizontal="right" vertical="center"/>
    </xf>
    <xf numFmtId="164" fontId="39" fillId="0" borderId="30" xfId="0" applyNumberFormat="1" applyFont="1" applyBorder="1" applyAlignment="1">
      <alignment horizontal="right" vertical="center"/>
    </xf>
    <xf numFmtId="0" fontId="6" fillId="0" borderId="0" xfId="0" applyFont="1"/>
    <xf numFmtId="167" fontId="18" fillId="0" borderId="8" xfId="0" applyNumberFormat="1" applyFont="1" applyBorder="1" applyAlignment="1">
      <alignment horizontal="right" vertical="center"/>
    </xf>
    <xf numFmtId="167" fontId="0" fillId="0" borderId="0" xfId="0" applyNumberFormat="1"/>
    <xf numFmtId="0" fontId="57" fillId="0" borderId="0" xfId="0" applyFont="1"/>
    <xf numFmtId="0" fontId="0" fillId="0" borderId="0" xfId="0" applyAlignment="1">
      <alignment vertical="top"/>
    </xf>
    <xf numFmtId="0" fontId="10" fillId="14" borderId="33" xfId="0" applyFont="1" applyFill="1" applyBorder="1" applyAlignment="1">
      <alignment horizontal="center"/>
    </xf>
    <xf numFmtId="0" fontId="0" fillId="14" borderId="33" xfId="0" applyFill="1" applyBorder="1" applyAlignment="1">
      <alignment horizontal="center" vertical="center" wrapText="1"/>
    </xf>
    <xf numFmtId="0" fontId="0" fillId="14" borderId="33" xfId="0" applyFill="1" applyBorder="1" applyAlignment="1">
      <alignment horizontal="center"/>
    </xf>
    <xf numFmtId="0" fontId="30" fillId="0" borderId="8" xfId="0" applyFont="1" applyBorder="1" applyAlignment="1">
      <alignment horizontal="left" vertical="center" wrapText="1"/>
    </xf>
    <xf numFmtId="164" fontId="45" fillId="0" borderId="50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left" vertical="center" wrapText="1"/>
    </xf>
    <xf numFmtId="0" fontId="58" fillId="0" borderId="0" xfId="0" applyFont="1" applyAlignment="1">
      <alignment horizontal="left"/>
    </xf>
    <xf numFmtId="164" fontId="33" fillId="0" borderId="8" xfId="0" applyNumberFormat="1" applyFont="1" applyBorder="1"/>
    <xf numFmtId="167" fontId="45" fillId="14" borderId="50" xfId="0" applyNumberFormat="1" applyFont="1" applyFill="1" applyBorder="1" applyAlignment="1">
      <alignment horizontal="center"/>
    </xf>
    <xf numFmtId="167" fontId="15" fillId="0" borderId="8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right" vertical="center" wrapText="1"/>
    </xf>
    <xf numFmtId="167" fontId="0" fillId="14" borderId="8" xfId="0" applyNumberFormat="1" applyFill="1" applyBorder="1" applyAlignment="1">
      <alignment horizontal="right" vertical="center" wrapText="1"/>
    </xf>
    <xf numFmtId="0" fontId="59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0" fontId="58" fillId="0" borderId="0" xfId="0" applyFont="1"/>
    <xf numFmtId="49" fontId="0" fillId="0" borderId="20" xfId="0" applyNumberFormat="1" applyBorder="1" applyAlignment="1">
      <alignment horizontal="center" vertical="center"/>
    </xf>
    <xf numFmtId="167" fontId="50" fillId="0" borderId="0" xfId="0" applyNumberFormat="1" applyFont="1" applyAlignment="1">
      <alignment vertical="center"/>
    </xf>
    <xf numFmtId="167" fontId="0" fillId="0" borderId="0" xfId="0" applyNumberFormat="1" applyAlignment="1">
      <alignment vertical="center"/>
    </xf>
    <xf numFmtId="0" fontId="32" fillId="0" borderId="25" xfId="0" applyFont="1" applyBorder="1" applyAlignment="1">
      <alignment vertical="center" wrapText="1"/>
    </xf>
    <xf numFmtId="167" fontId="45" fillId="0" borderId="51" xfId="0" applyNumberFormat="1" applyFont="1" applyBorder="1" applyAlignment="1">
      <alignment wrapText="1"/>
    </xf>
    <xf numFmtId="167" fontId="15" fillId="0" borderId="28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/>
    </xf>
    <xf numFmtId="164" fontId="40" fillId="0" borderId="0" xfId="0" applyNumberFormat="1" applyFont="1"/>
    <xf numFmtId="167" fontId="10" fillId="0" borderId="0" xfId="0" applyNumberFormat="1" applyFont="1"/>
    <xf numFmtId="164" fontId="60" fillId="0" borderId="30" xfId="0" applyNumberFormat="1" applyFont="1" applyBorder="1"/>
    <xf numFmtId="164" fontId="10" fillId="0" borderId="0" xfId="0" applyNumberFormat="1" applyFont="1"/>
    <xf numFmtId="0" fontId="20" fillId="0" borderId="0" xfId="0" applyFont="1" applyAlignment="1">
      <alignment horizontal="center"/>
    </xf>
    <xf numFmtId="167" fontId="23" fillId="0" borderId="50" xfId="0" applyNumberFormat="1" applyFont="1" applyBorder="1" applyAlignment="1">
      <alignment horizontal="right"/>
    </xf>
    <xf numFmtId="0" fontId="38" fillId="0" borderId="9" xfId="0" applyFont="1" applyBorder="1" applyAlignment="1">
      <alignment horizontal="left" vertical="center"/>
    </xf>
    <xf numFmtId="0" fontId="32" fillId="0" borderId="25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167" fontId="45" fillId="0" borderId="50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right" vertical="center"/>
    </xf>
    <xf numFmtId="0" fontId="65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47" fillId="0" borderId="8" xfId="0" applyFont="1" applyBorder="1" applyAlignment="1">
      <alignment horizontal="left"/>
    </xf>
    <xf numFmtId="164" fontId="15" fillId="0" borderId="27" xfId="0" applyNumberFormat="1" applyFont="1" applyBorder="1" applyAlignment="1">
      <alignment horizontal="right" vertical="center"/>
    </xf>
    <xf numFmtId="164" fontId="15" fillId="0" borderId="28" xfId="0" applyNumberFormat="1" applyFont="1" applyBorder="1" applyAlignment="1">
      <alignment horizontal="right" vertical="center" wrapText="1"/>
    </xf>
    <xf numFmtId="167" fontId="45" fillId="0" borderId="39" xfId="0" applyNumberFormat="1" applyFont="1" applyBorder="1" applyAlignment="1">
      <alignment horizontal="right"/>
    </xf>
    <xf numFmtId="0" fontId="45" fillId="0" borderId="58" xfId="0" applyFont="1" applyBorder="1"/>
    <xf numFmtId="0" fontId="19" fillId="0" borderId="58" xfId="0" applyFont="1" applyBorder="1" applyAlignment="1">
      <alignment vertical="center"/>
    </xf>
    <xf numFmtId="0" fontId="19" fillId="0" borderId="0" xfId="0" applyFont="1" applyAlignment="1">
      <alignment vertical="center"/>
    </xf>
    <xf numFmtId="164" fontId="0" fillId="0" borderId="27" xfId="0" applyNumberFormat="1" applyBorder="1" applyAlignment="1">
      <alignment horizontal="right" vertical="center"/>
    </xf>
    <xf numFmtId="0" fontId="63" fillId="0" borderId="0" xfId="0" applyFont="1" applyAlignment="1">
      <alignment horizontal="center" vertical="center"/>
    </xf>
    <xf numFmtId="0" fontId="34" fillId="0" borderId="0" xfId="0" applyFont="1" applyAlignment="1">
      <alignment horizontal="center"/>
    </xf>
    <xf numFmtId="164" fontId="0" fillId="0" borderId="30" xfId="0" applyNumberFormat="1" applyBorder="1"/>
    <xf numFmtId="164" fontId="38" fillId="0" borderId="30" xfId="0" applyNumberFormat="1" applyFont="1" applyBorder="1"/>
    <xf numFmtId="0" fontId="0" fillId="0" borderId="8" xfId="0" applyBorder="1" applyAlignment="1">
      <alignment horizontal="left" wrapText="1"/>
    </xf>
    <xf numFmtId="4" fontId="47" fillId="0" borderId="0" xfId="0" applyNumberFormat="1" applyFont="1"/>
    <xf numFmtId="166" fontId="20" fillId="0" borderId="0" xfId="0" applyNumberFormat="1" applyFont="1"/>
    <xf numFmtId="0" fontId="34" fillId="0" borderId="0" xfId="0" applyFont="1"/>
    <xf numFmtId="164" fontId="47" fillId="0" borderId="0" xfId="0" applyNumberFormat="1" applyFont="1"/>
    <xf numFmtId="4" fontId="34" fillId="0" borderId="0" xfId="0" applyNumberFormat="1" applyFont="1"/>
    <xf numFmtId="167" fontId="0" fillId="0" borderId="8" xfId="0" applyNumberFormat="1" applyBorder="1"/>
    <xf numFmtId="49" fontId="20" fillId="0" borderId="0" xfId="0" applyNumberFormat="1" applyFont="1"/>
    <xf numFmtId="0" fontId="0" fillId="0" borderId="58" xfId="0" applyBorder="1"/>
    <xf numFmtId="0" fontId="0" fillId="0" borderId="0" xfId="0" applyAlignment="1">
      <alignment vertical="top" wrapText="1"/>
    </xf>
    <xf numFmtId="164" fontId="0" fillId="0" borderId="8" xfId="0" applyNumberFormat="1" applyBorder="1" applyAlignment="1">
      <alignment vertical="center"/>
    </xf>
    <xf numFmtId="0" fontId="0" fillId="0" borderId="58" xfId="0" applyBorder="1" applyAlignment="1">
      <alignment vertical="top"/>
    </xf>
    <xf numFmtId="4" fontId="0" fillId="0" borderId="8" xfId="0" applyNumberFormat="1" applyBorder="1"/>
    <xf numFmtId="0" fontId="20" fillId="0" borderId="33" xfId="0" applyFont="1" applyBorder="1" applyAlignment="1">
      <alignment horizontal="center"/>
    </xf>
    <xf numFmtId="0" fontId="20" fillId="0" borderId="8" xfId="0" applyFont="1" applyBorder="1" applyAlignment="1">
      <alignment horizontal="left" vertical="center" wrapText="1"/>
    </xf>
    <xf numFmtId="164" fontId="20" fillId="0" borderId="30" xfId="0" applyNumberFormat="1" applyFont="1" applyBorder="1"/>
    <xf numFmtId="0" fontId="20" fillId="0" borderId="27" xfId="0" applyFont="1" applyBorder="1" applyAlignment="1">
      <alignment horizontal="center" wrapText="1"/>
    </xf>
    <xf numFmtId="0" fontId="20" fillId="0" borderId="58" xfId="0" applyFont="1" applyBorder="1"/>
    <xf numFmtId="164" fontId="69" fillId="0" borderId="8" xfId="0" applyNumberFormat="1" applyFont="1" applyBorder="1"/>
    <xf numFmtId="0" fontId="66" fillId="0" borderId="8" xfId="0" applyFont="1" applyBorder="1" applyAlignment="1">
      <alignment horizontal="left" vertical="center" wrapText="1"/>
    </xf>
    <xf numFmtId="0" fontId="70" fillId="0" borderId="8" xfId="0" applyFont="1" applyBorder="1" applyAlignment="1">
      <alignment horizontal="left" vertical="center" wrapText="1"/>
    </xf>
    <xf numFmtId="0" fontId="0" fillId="14" borderId="0" xfId="0" applyFill="1"/>
    <xf numFmtId="0" fontId="3" fillId="14" borderId="0" xfId="0" applyFont="1" applyFill="1"/>
    <xf numFmtId="164" fontId="45" fillId="14" borderId="50" xfId="0" applyNumberFormat="1" applyFont="1" applyFill="1" applyBorder="1" applyAlignment="1">
      <alignment horizontal="center"/>
    </xf>
    <xf numFmtId="0" fontId="23" fillId="14" borderId="0" xfId="0" applyFont="1" applyFill="1"/>
    <xf numFmtId="0" fontId="10" fillId="14" borderId="0" xfId="0" applyFont="1" applyFill="1" applyAlignment="1">
      <alignment horizontal="center"/>
    </xf>
    <xf numFmtId="0" fontId="47" fillId="14" borderId="0" xfId="0" applyFont="1" applyFill="1"/>
    <xf numFmtId="0" fontId="20" fillId="14" borderId="0" xfId="0" applyFont="1" applyFill="1"/>
    <xf numFmtId="0" fontId="19" fillId="14" borderId="0" xfId="0" applyFont="1" applyFill="1"/>
    <xf numFmtId="164" fontId="19" fillId="14" borderId="0" xfId="0" applyNumberFormat="1" applyFont="1" applyFill="1"/>
    <xf numFmtId="0" fontId="51" fillId="14" borderId="0" xfId="0" applyFont="1" applyFill="1"/>
    <xf numFmtId="164" fontId="20" fillId="14" borderId="0" xfId="0" applyNumberFormat="1" applyFont="1" applyFill="1"/>
    <xf numFmtId="0" fontId="19" fillId="8" borderId="0" xfId="0" applyFont="1" applyFill="1"/>
    <xf numFmtId="164" fontId="66" fillId="0" borderId="27" xfId="0" applyNumberFormat="1" applyFont="1" applyBorder="1" applyAlignment="1">
      <alignment horizontal="right" vertical="center" wrapText="1"/>
    </xf>
    <xf numFmtId="0" fontId="71" fillId="0" borderId="8" xfId="0" applyFont="1" applyBorder="1" applyAlignment="1">
      <alignment horizontal="left" vertical="center"/>
    </xf>
    <xf numFmtId="0" fontId="38" fillId="0" borderId="8" xfId="0" applyFont="1" applyBorder="1" applyAlignment="1">
      <alignment horizontal="left"/>
    </xf>
    <xf numFmtId="0" fontId="19" fillId="0" borderId="58" xfId="0" applyFont="1" applyBorder="1"/>
    <xf numFmtId="170" fontId="0" fillId="0" borderId="8" xfId="1" applyNumberFormat="1" applyFont="1" applyBorder="1" applyAlignment="1">
      <alignment horizontal="right" vertical="center" wrapText="1"/>
    </xf>
    <xf numFmtId="0" fontId="30" fillId="17" borderId="58" xfId="0" applyFont="1" applyFill="1" applyBorder="1" applyAlignment="1">
      <alignment wrapText="1"/>
    </xf>
    <xf numFmtId="0" fontId="30" fillId="17" borderId="0" xfId="0" applyFont="1" applyFill="1" applyAlignment="1">
      <alignment wrapText="1"/>
    </xf>
    <xf numFmtId="0" fontId="10" fillId="16" borderId="0" xfId="0" applyFont="1" applyFill="1" applyAlignment="1">
      <alignment vertical="center" wrapText="1"/>
    </xf>
    <xf numFmtId="164" fontId="62" fillId="0" borderId="0" xfId="0" applyNumberFormat="1" applyFont="1"/>
    <xf numFmtId="0" fontId="62" fillId="0" borderId="0" xfId="0" applyFont="1"/>
    <xf numFmtId="0" fontId="10" fillId="0" borderId="0" xfId="0" applyFont="1" applyAlignment="1">
      <alignment vertical="center" wrapText="1"/>
    </xf>
    <xf numFmtId="4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164" fontId="69" fillId="0" borderId="8" xfId="0" applyNumberFormat="1" applyFont="1" applyBorder="1" applyAlignment="1">
      <alignment vertical="center"/>
    </xf>
    <xf numFmtId="164" fontId="33" fillId="0" borderId="8" xfId="0" applyNumberFormat="1" applyFont="1" applyBorder="1" applyAlignment="1">
      <alignment vertical="center"/>
    </xf>
    <xf numFmtId="0" fontId="35" fillId="0" borderId="8" xfId="0" applyFont="1" applyBorder="1" applyAlignment="1">
      <alignment vertical="center"/>
    </xf>
    <xf numFmtId="0" fontId="31" fillId="0" borderId="0" xfId="0" applyFont="1"/>
    <xf numFmtId="164" fontId="18" fillId="0" borderId="27" xfId="0" applyNumberFormat="1" applyFont="1" applyBorder="1" applyAlignment="1">
      <alignment horizontal="right" vertical="center" wrapText="1"/>
    </xf>
    <xf numFmtId="0" fontId="73" fillId="16" borderId="0" xfId="0" applyFont="1" applyFill="1" applyAlignment="1">
      <alignment vertical="center" wrapText="1"/>
    </xf>
    <xf numFmtId="167" fontId="15" fillId="0" borderId="27" xfId="0" applyNumberFormat="1" applyFont="1" applyBorder="1" applyAlignment="1">
      <alignment horizontal="center" vertical="center"/>
    </xf>
    <xf numFmtId="167" fontId="0" fillId="14" borderId="27" xfId="0" applyNumberFormat="1" applyFill="1" applyBorder="1" applyAlignment="1">
      <alignment horizontal="right" vertical="center" wrapText="1"/>
    </xf>
    <xf numFmtId="0" fontId="73" fillId="17" borderId="0" xfId="0" applyFont="1" applyFill="1" applyAlignment="1">
      <alignment wrapText="1"/>
    </xf>
    <xf numFmtId="0" fontId="27" fillId="0" borderId="34" xfId="0" applyFont="1" applyBorder="1" applyAlignment="1">
      <alignment vertical="center"/>
    </xf>
    <xf numFmtId="0" fontId="27" fillId="0" borderId="8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38" fillId="0" borderId="8" xfId="0" applyFont="1" applyBorder="1"/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47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9" fillId="0" borderId="0" xfId="0" applyFont="1"/>
    <xf numFmtId="0" fontId="0" fillId="0" borderId="0" xfId="0" applyAlignment="1">
      <alignment vertical="center"/>
    </xf>
    <xf numFmtId="0" fontId="0" fillId="0" borderId="0" xfId="0"/>
    <xf numFmtId="164" fontId="10" fillId="0" borderId="8" xfId="0" applyNumberFormat="1" applyFont="1" applyFill="1" applyBorder="1" applyAlignment="1">
      <alignment horizontal="center"/>
    </xf>
    <xf numFmtId="0" fontId="19" fillId="0" borderId="0" xfId="0" applyFont="1" applyBorder="1"/>
    <xf numFmtId="0" fontId="34" fillId="0" borderId="0" xfId="0" applyFont="1" applyBorder="1"/>
    <xf numFmtId="164" fontId="20" fillId="0" borderId="0" xfId="0" applyNumberFormat="1" applyFont="1" applyBorder="1"/>
    <xf numFmtId="0" fontId="34" fillId="0" borderId="0" xfId="0" applyFont="1" applyBorder="1" applyAlignment="1">
      <alignment horizontal="center"/>
    </xf>
    <xf numFmtId="0" fontId="20" fillId="0" borderId="0" xfId="0" applyFont="1" applyBorder="1"/>
    <xf numFmtId="0" fontId="75" fillId="0" borderId="0" xfId="0" applyFont="1" applyBorder="1" applyAlignment="1">
      <alignment vertical="top" wrapText="1"/>
    </xf>
    <xf numFmtId="0" fontId="74" fillId="0" borderId="0" xfId="0" applyFont="1" applyBorder="1" applyAlignment="1">
      <alignment vertical="center"/>
    </xf>
    <xf numFmtId="0" fontId="31" fillId="0" borderId="0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0" fontId="74" fillId="0" borderId="0" xfId="0" applyFont="1" applyBorder="1" applyAlignment="1">
      <alignment vertical="top"/>
    </xf>
    <xf numFmtId="0" fontId="57" fillId="0" borderId="0" xfId="0" applyFont="1" applyBorder="1"/>
    <xf numFmtId="0" fontId="0" fillId="0" borderId="0" xfId="0" applyBorder="1"/>
    <xf numFmtId="0" fontId="6" fillId="0" borderId="0" xfId="0" applyFont="1" applyBorder="1"/>
    <xf numFmtId="0" fontId="38" fillId="0" borderId="0" xfId="0" applyFont="1" applyBorder="1"/>
    <xf numFmtId="167" fontId="0" fillId="0" borderId="0" xfId="0" applyNumberFormat="1" applyBorder="1"/>
    <xf numFmtId="167" fontId="68" fillId="0" borderId="0" xfId="0" applyNumberFormat="1" applyFont="1" applyBorder="1"/>
    <xf numFmtId="0" fontId="68" fillId="0" borderId="0" xfId="0" applyFont="1" applyBorder="1" applyAlignment="1">
      <alignment horizontal="center"/>
    </xf>
    <xf numFmtId="0" fontId="68" fillId="0" borderId="0" xfId="0" applyFont="1" applyBorder="1"/>
    <xf numFmtId="0" fontId="31" fillId="0" borderId="0" xfId="0" applyFont="1" applyBorder="1"/>
    <xf numFmtId="0" fontId="67" fillId="0" borderId="0" xfId="0" applyFont="1" applyBorder="1"/>
    <xf numFmtId="0" fontId="19" fillId="0" borderId="8" xfId="0" applyFont="1" applyFill="1" applyBorder="1" applyAlignment="1">
      <alignment horizontal="left" vertical="center" wrapText="1"/>
    </xf>
    <xf numFmtId="164" fontId="20" fillId="0" borderId="27" xfId="0" applyNumberFormat="1" applyFont="1" applyFill="1" applyBorder="1" applyAlignment="1">
      <alignment horizontal="right" vertical="center" wrapText="1"/>
    </xf>
    <xf numFmtId="0" fontId="70" fillId="0" borderId="42" xfId="0" applyFont="1" applyBorder="1" applyAlignment="1">
      <alignment horizontal="center" vertical="center" wrapText="1"/>
    </xf>
    <xf numFmtId="0" fontId="70" fillId="0" borderId="24" xfId="0" applyFont="1" applyBorder="1" applyAlignment="1">
      <alignment horizontal="left" vertical="center" wrapText="1"/>
    </xf>
    <xf numFmtId="167" fontId="70" fillId="0" borderId="37" xfId="0" applyNumberFormat="1" applyFont="1" applyBorder="1" applyAlignment="1">
      <alignment horizontal="left" vertical="center" wrapText="1"/>
    </xf>
    <xf numFmtId="164" fontId="70" fillId="0" borderId="41" xfId="0" applyNumberFormat="1" applyFont="1" applyBorder="1" applyAlignment="1">
      <alignment horizontal="right" vertical="center"/>
    </xf>
    <xf numFmtId="0" fontId="20" fillId="0" borderId="8" xfId="0" applyFont="1" applyBorder="1" applyAlignment="1">
      <alignment horizontal="left" vertical="center"/>
    </xf>
    <xf numFmtId="0" fontId="66" fillId="0" borderId="33" xfId="0" applyFont="1" applyBorder="1" applyAlignment="1">
      <alignment horizontal="center" vertical="center" wrapText="1"/>
    </xf>
    <xf numFmtId="164" fontId="66" fillId="0" borderId="30" xfId="0" applyNumberFormat="1" applyFont="1" applyBorder="1" applyAlignment="1">
      <alignment horizontal="right" vertical="center"/>
    </xf>
    <xf numFmtId="0" fontId="66" fillId="0" borderId="8" xfId="0" applyFont="1" applyBorder="1" applyAlignment="1">
      <alignment horizontal="left" vertical="top" wrapText="1"/>
    </xf>
    <xf numFmtId="0" fontId="66" fillId="0" borderId="8" xfId="0" applyFont="1" applyFill="1" applyBorder="1" applyAlignment="1">
      <alignment horizontal="left" vertical="center" wrapText="1"/>
    </xf>
    <xf numFmtId="164" fontId="66" fillId="0" borderId="27" xfId="0" applyNumberFormat="1" applyFont="1" applyFill="1" applyBorder="1" applyAlignment="1">
      <alignment horizontal="right" vertical="center" wrapText="1"/>
    </xf>
    <xf numFmtId="0" fontId="66" fillId="0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164" fontId="70" fillId="0" borderId="30" xfId="0" applyNumberFormat="1" applyFont="1" applyBorder="1" applyAlignment="1">
      <alignment horizontal="right" vertical="center"/>
    </xf>
    <xf numFmtId="164" fontId="66" fillId="0" borderId="27" xfId="0" applyNumberFormat="1" applyFont="1" applyBorder="1" applyAlignment="1">
      <alignment horizontal="right" vertical="center"/>
    </xf>
    <xf numFmtId="0" fontId="66" fillId="0" borderId="24" xfId="0" applyFont="1" applyBorder="1" applyAlignment="1">
      <alignment horizontal="left" vertical="center" wrapText="1"/>
    </xf>
    <xf numFmtId="0" fontId="70" fillId="0" borderId="27" xfId="0" applyFont="1" applyFill="1" applyBorder="1" applyAlignment="1">
      <alignment vertical="top" wrapText="1"/>
    </xf>
    <xf numFmtId="0" fontId="70" fillId="0" borderId="33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top" wrapText="1"/>
    </xf>
    <xf numFmtId="0" fontId="66" fillId="14" borderId="8" xfId="0" applyFont="1" applyFill="1" applyBorder="1" applyAlignment="1">
      <alignment horizontal="left" vertical="top" wrapText="1"/>
    </xf>
    <xf numFmtId="164" fontId="66" fillId="14" borderId="27" xfId="0" applyNumberFormat="1" applyFont="1" applyFill="1" applyBorder="1" applyAlignment="1">
      <alignment horizontal="right" vertical="center" wrapText="1"/>
    </xf>
    <xf numFmtId="0" fontId="70" fillId="0" borderId="3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/>
    </xf>
    <xf numFmtId="0" fontId="66" fillId="0" borderId="33" xfId="0" applyFont="1" applyBorder="1" applyAlignment="1">
      <alignment horizontal="center" vertical="center"/>
    </xf>
    <xf numFmtId="0" fontId="66" fillId="0" borderId="8" xfId="0" applyFont="1" applyBorder="1" applyAlignment="1">
      <alignment horizontal="left" vertical="center"/>
    </xf>
    <xf numFmtId="0" fontId="20" fillId="0" borderId="33" xfId="0" applyFont="1" applyBorder="1" applyAlignment="1">
      <alignment horizontal="center" vertical="center"/>
    </xf>
    <xf numFmtId="0" fontId="20" fillId="0" borderId="27" xfId="0" applyFont="1" applyBorder="1" applyAlignment="1">
      <alignment horizontal="left" vertical="center" wrapText="1"/>
    </xf>
    <xf numFmtId="0" fontId="47" fillId="0" borderId="42" xfId="0" applyFont="1" applyBorder="1" applyAlignment="1">
      <alignment horizontal="center"/>
    </xf>
    <xf numFmtId="0" fontId="47" fillId="0" borderId="24" xfId="0" applyFont="1" applyBorder="1" applyAlignment="1">
      <alignment horizontal="left"/>
    </xf>
    <xf numFmtId="0" fontId="47" fillId="0" borderId="24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0" borderId="8" xfId="0" applyFont="1" applyBorder="1" applyAlignment="1">
      <alignment horizontal="left"/>
    </xf>
    <xf numFmtId="164" fontId="19" fillId="0" borderId="8" xfId="0" applyNumberFormat="1" applyFont="1" applyBorder="1" applyAlignment="1">
      <alignment horizontal="right" vertical="center"/>
    </xf>
    <xf numFmtId="164" fontId="19" fillId="0" borderId="30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left" wrapText="1"/>
    </xf>
    <xf numFmtId="0" fontId="47" fillId="0" borderId="33" xfId="0" applyFont="1" applyBorder="1" applyAlignment="1">
      <alignment horizontal="center"/>
    </xf>
    <xf numFmtId="0" fontId="19" fillId="0" borderId="33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top" wrapText="1"/>
    </xf>
    <xf numFmtId="0" fontId="70" fillId="0" borderId="33" xfId="0" applyFont="1" applyBorder="1" applyAlignment="1">
      <alignment horizontal="center"/>
    </xf>
    <xf numFmtId="0" fontId="70" fillId="0" borderId="8" xfId="0" applyFont="1" applyBorder="1" applyAlignment="1">
      <alignment horizontal="left"/>
    </xf>
    <xf numFmtId="0" fontId="70" fillId="0" borderId="8" xfId="0" applyFont="1" applyBorder="1" applyAlignment="1">
      <alignment horizontal="center"/>
    </xf>
    <xf numFmtId="0" fontId="66" fillId="14" borderId="8" xfId="0" applyFont="1" applyFill="1" applyBorder="1" applyAlignment="1">
      <alignment vertical="top" wrapText="1"/>
    </xf>
    <xf numFmtId="164" fontId="66" fillId="0" borderId="8" xfId="0" applyNumberFormat="1" applyFont="1" applyBorder="1" applyAlignment="1">
      <alignment horizontal="right" vertical="center"/>
    </xf>
    <xf numFmtId="0" fontId="66" fillId="0" borderId="8" xfId="0" applyFont="1" applyBorder="1" applyAlignment="1">
      <alignment vertical="center" wrapText="1"/>
    </xf>
    <xf numFmtId="0" fontId="20" fillId="0" borderId="8" xfId="0" applyFont="1" applyBorder="1" applyAlignment="1">
      <alignment vertical="center"/>
    </xf>
    <xf numFmtId="164" fontId="70" fillId="0" borderId="27" xfId="0" applyNumberFormat="1" applyFont="1" applyBorder="1" applyAlignment="1">
      <alignment horizontal="left" vertical="center" wrapText="1"/>
    </xf>
    <xf numFmtId="0" fontId="20" fillId="14" borderId="33" xfId="0" applyFont="1" applyFill="1" applyBorder="1" applyAlignment="1">
      <alignment horizontal="center" vertical="center"/>
    </xf>
    <xf numFmtId="0" fontId="20" fillId="14" borderId="8" xfId="0" applyFont="1" applyFill="1" applyBorder="1" applyAlignment="1">
      <alignment horizontal="left" vertical="center"/>
    </xf>
    <xf numFmtId="164" fontId="20" fillId="14" borderId="8" xfId="0" applyNumberFormat="1" applyFont="1" applyFill="1" applyBorder="1" applyAlignment="1">
      <alignment horizontal="right" vertical="center"/>
    </xf>
    <xf numFmtId="164" fontId="20" fillId="14" borderId="30" xfId="0" applyNumberFormat="1" applyFont="1" applyFill="1" applyBorder="1" applyAlignment="1">
      <alignment horizontal="right" vertical="center"/>
    </xf>
    <xf numFmtId="164" fontId="20" fillId="14" borderId="27" xfId="0" applyNumberFormat="1" applyFont="1" applyFill="1" applyBorder="1" applyAlignment="1">
      <alignment horizontal="right" vertical="center"/>
    </xf>
    <xf numFmtId="0" fontId="20" fillId="14" borderId="8" xfId="0" applyFont="1" applyFill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/>
    </xf>
    <xf numFmtId="0" fontId="70" fillId="14" borderId="33" xfId="0" applyFont="1" applyFill="1" applyBorder="1" applyAlignment="1">
      <alignment horizontal="center"/>
    </xf>
    <xf numFmtId="167" fontId="20" fillId="0" borderId="27" xfId="0" applyNumberFormat="1" applyFont="1" applyBorder="1" applyAlignment="1">
      <alignment horizontal="left" vertical="center" wrapText="1"/>
    </xf>
    <xf numFmtId="0" fontId="66" fillId="0" borderId="33" xfId="0" applyFont="1" applyBorder="1" applyAlignment="1">
      <alignment horizontal="center"/>
    </xf>
    <xf numFmtId="0" fontId="66" fillId="0" borderId="8" xfId="0" applyFont="1" applyBorder="1" applyAlignment="1">
      <alignment horizontal="left"/>
    </xf>
    <xf numFmtId="164" fontId="20" fillId="0" borderId="27" xfId="0" applyNumberFormat="1" applyFont="1" applyBorder="1" applyAlignment="1">
      <alignment horizontal="left" vertical="center" wrapText="1"/>
    </xf>
    <xf numFmtId="0" fontId="20" fillId="0" borderId="45" xfId="0" applyFont="1" applyBorder="1" applyAlignment="1">
      <alignment horizontal="center"/>
    </xf>
    <xf numFmtId="164" fontId="38" fillId="0" borderId="27" xfId="0" applyNumberFormat="1" applyFont="1" applyFill="1" applyBorder="1" applyAlignment="1">
      <alignment horizontal="right" vertical="center"/>
    </xf>
    <xf numFmtId="164" fontId="66" fillId="0" borderId="27" xfId="0" applyNumberFormat="1" applyFont="1" applyFill="1" applyBorder="1" applyAlignment="1">
      <alignment horizontal="right" vertical="center"/>
    </xf>
    <xf numFmtId="164" fontId="20" fillId="0" borderId="30" xfId="0" applyNumberFormat="1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left" wrapText="1"/>
    </xf>
    <xf numFmtId="0" fontId="70" fillId="0" borderId="32" xfId="0" applyFont="1" applyBorder="1" applyAlignment="1">
      <alignment horizontal="center" vertical="center" wrapText="1"/>
    </xf>
    <xf numFmtId="0" fontId="70" fillId="0" borderId="8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164" fontId="70" fillId="0" borderId="30" xfId="0" applyNumberFormat="1" applyFont="1" applyBorder="1"/>
    <xf numFmtId="0" fontId="66" fillId="0" borderId="8" xfId="0" applyFont="1" applyBorder="1" applyAlignment="1">
      <alignment horizontal="left" wrapText="1"/>
    </xf>
    <xf numFmtId="164" fontId="66" fillId="0" borderId="30" xfId="0" applyNumberFormat="1" applyFont="1" applyBorder="1"/>
    <xf numFmtId="167" fontId="70" fillId="0" borderId="27" xfId="0" applyNumberFormat="1" applyFont="1" applyBorder="1" applyAlignment="1">
      <alignment horizontal="left" vertical="center" wrapText="1"/>
    </xf>
    <xf numFmtId="164" fontId="20" fillId="0" borderId="27" xfId="0" applyNumberFormat="1" applyFont="1" applyBorder="1" applyAlignment="1">
      <alignment vertical="center"/>
    </xf>
    <xf numFmtId="164" fontId="20" fillId="0" borderId="30" xfId="0" applyNumberFormat="1" applyFont="1" applyBorder="1" applyAlignment="1">
      <alignment vertical="center"/>
    </xf>
    <xf numFmtId="164" fontId="20" fillId="0" borderId="27" xfId="0" applyNumberFormat="1" applyFont="1" applyBorder="1"/>
    <xf numFmtId="164" fontId="20" fillId="0" borderId="27" xfId="0" applyNumberFormat="1" applyFont="1" applyBorder="1" applyAlignment="1">
      <alignment horizontal="right"/>
    </xf>
    <xf numFmtId="164" fontId="20" fillId="0" borderId="8" xfId="0" applyNumberFormat="1" applyFont="1" applyBorder="1" applyAlignment="1">
      <alignment vertical="center"/>
    </xf>
    <xf numFmtId="0" fontId="66" fillId="14" borderId="33" xfId="0" applyFont="1" applyFill="1" applyBorder="1" applyAlignment="1">
      <alignment horizontal="center" vertical="center"/>
    </xf>
    <xf numFmtId="0" fontId="66" fillId="14" borderId="8" xfId="0" applyFont="1" applyFill="1" applyBorder="1" applyAlignment="1">
      <alignment horizontal="left" vertical="center" wrapText="1"/>
    </xf>
    <xf numFmtId="0" fontId="20" fillId="14" borderId="33" xfId="0" applyFont="1" applyFill="1" applyBorder="1" applyAlignment="1">
      <alignment horizontal="center" vertical="center" wrapText="1"/>
    </xf>
    <xf numFmtId="164" fontId="70" fillId="0" borderId="27" xfId="0" applyNumberFormat="1" applyFont="1" applyBorder="1" applyAlignment="1">
      <alignment horizontal="right" vertical="center" wrapText="1"/>
    </xf>
    <xf numFmtId="164" fontId="66" fillId="0" borderId="8" xfId="0" applyNumberFormat="1" applyFont="1" applyFill="1" applyBorder="1" applyAlignment="1">
      <alignment horizontal="right" vertical="center"/>
    </xf>
    <xf numFmtId="0" fontId="10" fillId="0" borderId="24" xfId="0" applyFont="1" applyBorder="1" applyAlignment="1">
      <alignment horizontal="center" vertical="center"/>
    </xf>
    <xf numFmtId="0" fontId="78" fillId="0" borderId="8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164" fontId="18" fillId="0" borderId="27" xfId="0" applyNumberFormat="1" applyFont="1" applyFill="1" applyBorder="1" applyAlignment="1">
      <alignment horizontal="right" vertical="center" wrapText="1"/>
    </xf>
    <xf numFmtId="0" fontId="0" fillId="0" borderId="0" xfId="0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right" vertical="center" wrapText="1"/>
    </xf>
    <xf numFmtId="164" fontId="12" fillId="0" borderId="0" xfId="0" applyNumberFormat="1" applyFont="1" applyBorder="1" applyAlignment="1">
      <alignment horizontal="right" vertical="center"/>
    </xf>
    <xf numFmtId="164" fontId="0" fillId="0" borderId="0" xfId="0" applyNumberFormat="1" applyFill="1" applyBorder="1"/>
    <xf numFmtId="0" fontId="0" fillId="0" borderId="0" xfId="0" applyFill="1"/>
    <xf numFmtId="0" fontId="0" fillId="0" borderId="0" xfId="0" applyFill="1" applyBorder="1"/>
    <xf numFmtId="0" fontId="10" fillId="0" borderId="43" xfId="0" applyFont="1" applyFill="1" applyBorder="1" applyAlignment="1">
      <alignment horizontal="center"/>
    </xf>
    <xf numFmtId="0" fontId="10" fillId="0" borderId="40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left" vertical="center" wrapText="1"/>
    </xf>
    <xf numFmtId="167" fontId="47" fillId="0" borderId="26" xfId="0" applyNumberFormat="1" applyFont="1" applyFill="1" applyBorder="1" applyAlignment="1">
      <alignment horizontal="right" vertical="center"/>
    </xf>
    <xf numFmtId="0" fontId="80" fillId="0" borderId="0" xfId="0" applyFont="1"/>
    <xf numFmtId="0" fontId="80" fillId="0" borderId="0" xfId="0" applyFont="1" applyFill="1" applyAlignment="1">
      <alignment wrapText="1"/>
    </xf>
    <xf numFmtId="0" fontId="81" fillId="0" borderId="33" xfId="0" applyFont="1" applyBorder="1" applyAlignment="1">
      <alignment horizontal="center" vertical="center" wrapText="1"/>
    </xf>
    <xf numFmtId="0" fontId="82" fillId="0" borderId="27" xfId="0" applyFont="1" applyFill="1" applyBorder="1" applyAlignment="1">
      <alignment horizontal="left" vertical="center" wrapText="1"/>
    </xf>
    <xf numFmtId="167" fontId="81" fillId="0" borderId="26" xfId="0" applyNumberFormat="1" applyFont="1" applyFill="1" applyBorder="1" applyAlignment="1">
      <alignment horizontal="right" vertical="center"/>
    </xf>
    <xf numFmtId="164" fontId="81" fillId="0" borderId="30" xfId="0" applyNumberFormat="1" applyFont="1" applyBorder="1" applyAlignment="1">
      <alignment horizontal="right" vertical="center"/>
    </xf>
    <xf numFmtId="0" fontId="47" fillId="0" borderId="27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Fill="1" applyAlignment="1">
      <alignment horizontal="center" wrapText="1"/>
    </xf>
    <xf numFmtId="0" fontId="18" fillId="0" borderId="26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wrapText="1"/>
    </xf>
    <xf numFmtId="0" fontId="42" fillId="0" borderId="27" xfId="0" applyFont="1" applyFill="1" applyBorder="1" applyAlignment="1">
      <alignment horizontal="left" vertical="center" wrapText="1"/>
    </xf>
    <xf numFmtId="167" fontId="42" fillId="0" borderId="26" xfId="0" applyNumberFormat="1" applyFont="1" applyFill="1" applyBorder="1" applyAlignment="1">
      <alignment horizontal="right" vertical="center"/>
    </xf>
    <xf numFmtId="0" fontId="42" fillId="0" borderId="0" xfId="0" applyFont="1"/>
    <xf numFmtId="0" fontId="42" fillId="0" borderId="0" xfId="0" applyFont="1" applyFill="1" applyAlignment="1">
      <alignment horizontal="center" wrapText="1"/>
    </xf>
    <xf numFmtId="0" fontId="83" fillId="0" borderId="33" xfId="0" applyFont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167" fontId="44" fillId="0" borderId="26" xfId="0" applyNumberFormat="1" applyFont="1" applyFill="1" applyBorder="1" applyAlignment="1">
      <alignment horizontal="right" vertical="center"/>
    </xf>
    <xf numFmtId="164" fontId="44" fillId="0" borderId="30" xfId="0" applyNumberFormat="1" applyFont="1" applyBorder="1" applyAlignment="1">
      <alignment horizontal="right" vertical="center"/>
    </xf>
    <xf numFmtId="0" fontId="44" fillId="0" borderId="0" xfId="0" applyFont="1" applyFill="1" applyAlignment="1">
      <alignment horizontal="center" wrapText="1"/>
    </xf>
    <xf numFmtId="0" fontId="44" fillId="0" borderId="27" xfId="0" applyFont="1" applyFill="1" applyBorder="1" applyAlignment="1">
      <alignment horizontal="left" vertical="center" wrapText="1"/>
    </xf>
    <xf numFmtId="164" fontId="47" fillId="0" borderId="30" xfId="0" applyNumberFormat="1" applyFont="1" applyFill="1" applyBorder="1" applyAlignment="1">
      <alignment horizontal="right" vertical="center"/>
    </xf>
    <xf numFmtId="0" fontId="71" fillId="0" borderId="27" xfId="0" applyFont="1" applyFill="1" applyBorder="1" applyAlignment="1">
      <alignment horizontal="left" vertical="center" wrapText="1"/>
    </xf>
    <xf numFmtId="169" fontId="44" fillId="0" borderId="26" xfId="0" applyNumberFormat="1" applyFont="1" applyFill="1" applyBorder="1" applyAlignment="1">
      <alignment horizontal="right" vertical="center"/>
    </xf>
    <xf numFmtId="0" fontId="47" fillId="0" borderId="33" xfId="0" applyFont="1" applyFill="1" applyBorder="1" applyAlignment="1">
      <alignment horizontal="center" vertical="center" wrapText="1"/>
    </xf>
    <xf numFmtId="0" fontId="71" fillId="0" borderId="0" xfId="0" applyFont="1" applyFill="1"/>
    <xf numFmtId="0" fontId="47" fillId="0" borderId="0" xfId="0" applyFont="1" applyFill="1"/>
    <xf numFmtId="0" fontId="43" fillId="0" borderId="27" xfId="0" applyFont="1" applyFill="1" applyBorder="1" applyAlignment="1">
      <alignment horizontal="left" vertical="center" wrapText="1"/>
    </xf>
    <xf numFmtId="167" fontId="43" fillId="0" borderId="26" xfId="0" applyNumberFormat="1" applyFont="1" applyFill="1" applyBorder="1" applyAlignment="1">
      <alignment horizontal="right" vertical="center"/>
    </xf>
    <xf numFmtId="0" fontId="43" fillId="0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 applyBorder="1" applyAlignment="1">
      <alignment horizontal="right"/>
    </xf>
    <xf numFmtId="164" fontId="12" fillId="0" borderId="0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 wrapText="1"/>
    </xf>
    <xf numFmtId="167" fontId="10" fillId="0" borderId="26" xfId="0" applyNumberFormat="1" applyFont="1" applyBorder="1" applyAlignment="1">
      <alignment horizontal="right" vertical="center"/>
    </xf>
    <xf numFmtId="0" fontId="50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0" fillId="0" borderId="0" xfId="0"/>
    <xf numFmtId="0" fontId="10" fillId="0" borderId="0" xfId="0" applyFont="1" applyBorder="1" applyAlignment="1">
      <alignment horizontal="center"/>
    </xf>
    <xf numFmtId="0" fontId="70" fillId="0" borderId="6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164" fontId="20" fillId="0" borderId="26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3" fillId="4" borderId="1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23" fillId="0" borderId="15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23" fillId="0" borderId="1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5" fillId="0" borderId="0" xfId="0" applyFont="1" applyAlignment="1">
      <alignment horizontal="right" wrapText="1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right"/>
    </xf>
    <xf numFmtId="0" fontId="23" fillId="0" borderId="16" xfId="0" applyFont="1" applyBorder="1" applyAlignment="1">
      <alignment horizontal="right"/>
    </xf>
    <xf numFmtId="164" fontId="0" fillId="0" borderId="0" xfId="0" applyNumberFormat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30" fillId="0" borderId="8" xfId="0" applyFont="1" applyBorder="1" applyAlignment="1">
      <alignment horizontal="center"/>
    </xf>
    <xf numFmtId="0" fontId="30" fillId="0" borderId="8" xfId="0" applyFont="1" applyBorder="1" applyAlignment="1">
      <alignment horizontal="center" vertical="center"/>
    </xf>
    <xf numFmtId="0" fontId="30" fillId="4" borderId="20" xfId="0" applyFont="1" applyFill="1" applyBorder="1" applyAlignment="1">
      <alignment horizontal="center" vertical="center" wrapText="1"/>
    </xf>
    <xf numFmtId="0" fontId="30" fillId="0" borderId="24" xfId="0" applyFont="1" applyBorder="1" applyAlignment="1">
      <alignment wrapText="1"/>
    </xf>
    <xf numFmtId="0" fontId="30" fillId="4" borderId="20" xfId="0" applyFont="1" applyFill="1" applyBorder="1" applyAlignment="1">
      <alignment wrapText="1"/>
    </xf>
    <xf numFmtId="0" fontId="32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36" fillId="0" borderId="27" xfId="0" applyFont="1" applyBorder="1" applyAlignment="1">
      <alignment horizontal="right"/>
    </xf>
    <xf numFmtId="0" fontId="36" fillId="0" borderId="11" xfId="0" applyFont="1" applyBorder="1" applyAlignment="1">
      <alignment horizontal="right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49" fillId="0" borderId="20" xfId="0" applyFont="1" applyBorder="1" applyAlignment="1">
      <alignment horizontal="center" vertical="center" wrapText="1"/>
    </xf>
    <xf numFmtId="0" fontId="49" fillId="0" borderId="24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40" fillId="0" borderId="27" xfId="0" applyFont="1" applyBorder="1" applyAlignment="1">
      <alignment horizontal="right" vertical="center" wrapText="1"/>
    </xf>
    <xf numFmtId="0" fontId="40" fillId="0" borderId="26" xfId="0" applyFont="1" applyBorder="1" applyAlignment="1">
      <alignment horizontal="right" vertical="center" wrapText="1"/>
    </xf>
    <xf numFmtId="0" fontId="40" fillId="0" borderId="11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36" fillId="0" borderId="8" xfId="0" applyFont="1" applyBorder="1" applyAlignment="1">
      <alignment horizontal="right"/>
    </xf>
    <xf numFmtId="0" fontId="10" fillId="0" borderId="8" xfId="0" applyFont="1" applyFill="1" applyBorder="1" applyAlignment="1">
      <alignment horizontal="center"/>
    </xf>
    <xf numFmtId="0" fontId="70" fillId="4" borderId="0" xfId="0" applyFont="1" applyFill="1" applyAlignment="1">
      <alignment horizontal="center" vertical="center"/>
    </xf>
    <xf numFmtId="0" fontId="45" fillId="0" borderId="38" xfId="0" applyFont="1" applyBorder="1" applyAlignment="1">
      <alignment horizontal="center" wrapText="1"/>
    </xf>
    <xf numFmtId="0" fontId="45" fillId="0" borderId="51" xfId="0" applyFont="1" applyBorder="1" applyAlignment="1">
      <alignment horizontal="center" wrapText="1"/>
    </xf>
    <xf numFmtId="0" fontId="10" fillId="0" borderId="44" xfId="0" applyFont="1" applyFill="1" applyBorder="1" applyAlignment="1">
      <alignment horizontal="center"/>
    </xf>
    <xf numFmtId="0" fontId="10" fillId="0" borderId="51" xfId="0" applyFont="1" applyFill="1" applyBorder="1" applyAlignment="1">
      <alignment horizontal="center"/>
    </xf>
    <xf numFmtId="0" fontId="15" fillId="0" borderId="53" xfId="0" applyFont="1" applyBorder="1" applyAlignment="1">
      <alignment horizontal="right" vertical="center"/>
    </xf>
    <xf numFmtId="0" fontId="15" fillId="0" borderId="57" xfId="0" applyFont="1" applyBorder="1" applyAlignment="1">
      <alignment horizontal="right" vertical="center"/>
    </xf>
    <xf numFmtId="0" fontId="15" fillId="0" borderId="33" xfId="0" applyFont="1" applyBorder="1" applyAlignment="1">
      <alignment horizontal="right" vertical="center"/>
    </xf>
    <xf numFmtId="0" fontId="15" fillId="0" borderId="27" xfId="0" applyFont="1" applyBorder="1" applyAlignment="1">
      <alignment horizontal="right" vertical="center"/>
    </xf>
    <xf numFmtId="0" fontId="19" fillId="0" borderId="58" xfId="0" applyFont="1" applyBorder="1"/>
    <xf numFmtId="0" fontId="19" fillId="0" borderId="0" xfId="0" applyFont="1"/>
    <xf numFmtId="0" fontId="14" fillId="0" borderId="48" xfId="0" applyFont="1" applyBorder="1" applyAlignment="1">
      <alignment horizontal="center" vertical="center"/>
    </xf>
    <xf numFmtId="0" fontId="23" fillId="0" borderId="43" xfId="0" applyFont="1" applyBorder="1" applyAlignment="1">
      <alignment horizontal="right" wrapText="1"/>
    </xf>
    <xf numFmtId="0" fontId="23" fillId="0" borderId="50" xfId="0" applyFont="1" applyBorder="1" applyAlignment="1">
      <alignment horizontal="right" wrapText="1"/>
    </xf>
    <xf numFmtId="0" fontId="15" fillId="0" borderId="3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47" fillId="0" borderId="0" xfId="0" applyFont="1" applyBorder="1" applyAlignment="1">
      <alignment horizontal="center" vertical="center" wrapText="1"/>
    </xf>
    <xf numFmtId="0" fontId="47" fillId="0" borderId="59" xfId="0" applyFont="1" applyBorder="1" applyAlignment="1">
      <alignment horizontal="center" vertical="center" wrapText="1"/>
    </xf>
    <xf numFmtId="0" fontId="47" fillId="0" borderId="24" xfId="0" applyFont="1" applyBorder="1" applyAlignment="1">
      <alignment horizontal="center" vertical="center" wrapText="1"/>
    </xf>
    <xf numFmtId="0" fontId="47" fillId="0" borderId="37" xfId="0" applyFont="1" applyBorder="1" applyAlignment="1">
      <alignment horizontal="center" vertical="center" wrapText="1"/>
    </xf>
    <xf numFmtId="0" fontId="47" fillId="0" borderId="35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7" fillId="0" borderId="57" xfId="0" applyFont="1" applyBorder="1" applyAlignment="1">
      <alignment horizontal="center" vertical="center" wrapText="1"/>
    </xf>
    <xf numFmtId="0" fontId="47" fillId="0" borderId="60" xfId="0" applyFont="1" applyBorder="1" applyAlignment="1">
      <alignment horizontal="center" vertical="center" wrapText="1"/>
    </xf>
    <xf numFmtId="0" fontId="47" fillId="0" borderId="9" xfId="0" applyFont="1" applyBorder="1" applyAlignment="1">
      <alignment horizontal="center" vertical="center" wrapText="1"/>
    </xf>
    <xf numFmtId="0" fontId="47" fillId="0" borderId="36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47" fillId="0" borderId="60" xfId="0" applyFont="1" applyBorder="1" applyAlignment="1">
      <alignment horizontal="center" wrapText="1"/>
    </xf>
    <xf numFmtId="0" fontId="47" fillId="0" borderId="9" xfId="0" applyFont="1" applyBorder="1" applyAlignment="1">
      <alignment horizontal="center" wrapText="1"/>
    </xf>
    <xf numFmtId="0" fontId="47" fillId="0" borderId="36" xfId="0" applyFont="1" applyBorder="1" applyAlignment="1">
      <alignment horizontal="center" wrapText="1"/>
    </xf>
    <xf numFmtId="0" fontId="47" fillId="0" borderId="60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36" xfId="0" applyFont="1" applyBorder="1" applyAlignment="1">
      <alignment horizontal="center" vertical="center"/>
    </xf>
    <xf numFmtId="0" fontId="47" fillId="0" borderId="11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47" fillId="0" borderId="27" xfId="0" applyFont="1" applyBorder="1" applyAlignment="1">
      <alignment horizontal="center" vertical="center" wrapText="1"/>
    </xf>
    <xf numFmtId="0" fontId="31" fillId="4" borderId="0" xfId="0" applyFont="1" applyFill="1" applyBorder="1"/>
    <xf numFmtId="0" fontId="48" fillId="0" borderId="60" xfId="0" applyFont="1" applyBorder="1" applyAlignment="1">
      <alignment horizontal="center"/>
    </xf>
    <xf numFmtId="0" fontId="48" fillId="0" borderId="9" xfId="0" applyFont="1" applyBorder="1" applyAlignment="1">
      <alignment horizontal="center"/>
    </xf>
    <xf numFmtId="0" fontId="48" fillId="0" borderId="36" xfId="0" applyFont="1" applyBorder="1" applyAlignment="1">
      <alignment horizontal="center"/>
    </xf>
    <xf numFmtId="0" fontId="73" fillId="0" borderId="0" xfId="0" applyFont="1" applyBorder="1"/>
    <xf numFmtId="0" fontId="74" fillId="0" borderId="0" xfId="0" applyFont="1" applyBorder="1"/>
    <xf numFmtId="0" fontId="31" fillId="0" borderId="0" xfId="0" applyFont="1" applyBorder="1" applyAlignment="1">
      <alignment wrapText="1"/>
    </xf>
    <xf numFmtId="0" fontId="73" fillId="0" borderId="0" xfId="0" applyFont="1" applyBorder="1" applyAlignment="1">
      <alignment horizontal="center" vertical="top" wrapText="1"/>
    </xf>
    <xf numFmtId="0" fontId="47" fillId="0" borderId="0" xfId="0" applyFont="1" applyBorder="1" applyAlignment="1">
      <alignment horizontal="center" vertical="top" wrapText="1"/>
    </xf>
    <xf numFmtId="0" fontId="76" fillId="0" borderId="0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top"/>
    </xf>
    <xf numFmtId="0" fontId="47" fillId="16" borderId="60" xfId="0" applyFont="1" applyFill="1" applyBorder="1" applyAlignment="1">
      <alignment horizontal="center" vertical="center" wrapText="1"/>
    </xf>
    <xf numFmtId="0" fontId="47" fillId="16" borderId="9" xfId="0" applyFont="1" applyFill="1" applyBorder="1" applyAlignment="1">
      <alignment horizontal="center" vertical="center" wrapText="1"/>
    </xf>
    <xf numFmtId="0" fontId="47" fillId="16" borderId="3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36" xfId="0" applyFont="1" applyBorder="1" applyAlignment="1">
      <alignment horizontal="center" wrapText="1"/>
    </xf>
    <xf numFmtId="0" fontId="73" fillId="0" borderId="0" xfId="0" applyFont="1"/>
    <xf numFmtId="0" fontId="31" fillId="0" borderId="58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10" fillId="0" borderId="6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15" fillId="0" borderId="34" xfId="0" applyFont="1" applyBorder="1" applyAlignment="1">
      <alignment horizontal="center" vertical="center" wrapText="1"/>
    </xf>
    <xf numFmtId="0" fontId="0" fillId="0" borderId="58" xfId="0" applyBorder="1" applyAlignment="1">
      <alignment horizontal="center"/>
    </xf>
    <xf numFmtId="0" fontId="0" fillId="0" borderId="0" xfId="0" applyAlignment="1">
      <alignment horizontal="center"/>
    </xf>
    <xf numFmtId="0" fontId="72" fillId="8" borderId="58" xfId="0" applyFont="1" applyFill="1" applyBorder="1" applyAlignment="1">
      <alignment horizontal="center"/>
    </xf>
    <xf numFmtId="0" fontId="71" fillId="8" borderId="0" xfId="0" applyFont="1" applyFill="1" applyAlignment="1">
      <alignment horizontal="center"/>
    </xf>
    <xf numFmtId="0" fontId="20" fillId="0" borderId="58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23" fillId="0" borderId="0" xfId="0" applyFont="1" applyAlignment="1">
      <alignment horizontal="center" vertical="center"/>
    </xf>
    <xf numFmtId="0" fontId="47" fillId="0" borderId="59" xfId="0" applyFont="1" applyBorder="1" applyAlignment="1">
      <alignment horizontal="center" wrapText="1"/>
    </xf>
    <xf numFmtId="0" fontId="47" fillId="0" borderId="24" xfId="0" applyFont="1" applyBorder="1" applyAlignment="1">
      <alignment horizontal="center" wrapText="1"/>
    </xf>
    <xf numFmtId="0" fontId="47" fillId="0" borderId="37" xfId="0" applyFont="1" applyBorder="1" applyAlignment="1">
      <alignment horizontal="center" wrapText="1"/>
    </xf>
    <xf numFmtId="0" fontId="47" fillId="0" borderId="35" xfId="0" applyFont="1" applyBorder="1" applyAlignment="1">
      <alignment horizontal="center" wrapText="1"/>
    </xf>
    <xf numFmtId="0" fontId="47" fillId="0" borderId="20" xfId="0" applyFont="1" applyBorder="1" applyAlignment="1">
      <alignment horizontal="center" wrapText="1"/>
    </xf>
    <xf numFmtId="0" fontId="47" fillId="0" borderId="57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59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74" fillId="0" borderId="0" xfId="0" applyFont="1" applyAlignment="1">
      <alignment horizontal="left" vertical="top" wrapText="1"/>
    </xf>
    <xf numFmtId="0" fontId="45" fillId="0" borderId="43" xfId="0" applyFont="1" applyBorder="1" applyAlignment="1">
      <alignment horizontal="center" wrapText="1"/>
    </xf>
    <xf numFmtId="0" fontId="45" fillId="0" borderId="50" xfId="0" applyFont="1" applyBorder="1" applyAlignment="1">
      <alignment horizont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9" fillId="0" borderId="58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31" fillId="0" borderId="0" xfId="0" applyFont="1" applyBorder="1"/>
    <xf numFmtId="0" fontId="31" fillId="0" borderId="0" xfId="0" applyFont="1"/>
    <xf numFmtId="0" fontId="74" fillId="0" borderId="58" xfId="0" applyFont="1" applyBorder="1" applyAlignment="1">
      <alignment vertical="center"/>
    </xf>
    <xf numFmtId="0" fontId="74" fillId="0" borderId="0" xfId="0" applyFont="1" applyBorder="1" applyAlignment="1">
      <alignment vertical="center"/>
    </xf>
    <xf numFmtId="0" fontId="47" fillId="0" borderId="60" xfId="0" applyFont="1" applyBorder="1" applyAlignment="1">
      <alignment horizontal="center"/>
    </xf>
    <xf numFmtId="0" fontId="47" fillId="0" borderId="9" xfId="0" applyFont="1" applyBorder="1" applyAlignment="1">
      <alignment horizontal="center"/>
    </xf>
    <xf numFmtId="0" fontId="47" fillId="0" borderId="36" xfId="0" applyFont="1" applyBorder="1" applyAlignment="1">
      <alignment horizontal="center"/>
    </xf>
    <xf numFmtId="0" fontId="20" fillId="0" borderId="58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9" fillId="14" borderId="58" xfId="0" applyFont="1" applyFill="1" applyBorder="1" applyAlignment="1">
      <alignment horizontal="left" vertical="top" wrapText="1"/>
    </xf>
    <xf numFmtId="0" fontId="19" fillId="14" borderId="0" xfId="0" applyFont="1" applyFill="1" applyAlignment="1">
      <alignment horizontal="left" vertical="top" wrapText="1"/>
    </xf>
    <xf numFmtId="0" fontId="15" fillId="0" borderId="33" xfId="0" applyFont="1" applyBorder="1" applyAlignment="1">
      <alignment horizontal="center"/>
    </xf>
    <xf numFmtId="0" fontId="10" fillId="0" borderId="59" xfId="0" applyFont="1" applyBorder="1" applyAlignment="1">
      <alignment horizontal="center" wrapText="1"/>
    </xf>
    <xf numFmtId="0" fontId="10" fillId="0" borderId="24" xfId="0" applyFont="1" applyBorder="1" applyAlignment="1">
      <alignment horizontal="center" wrapText="1"/>
    </xf>
    <xf numFmtId="0" fontId="10" fillId="0" borderId="37" xfId="0" applyFont="1" applyBorder="1" applyAlignment="1">
      <alignment horizontal="center" wrapText="1"/>
    </xf>
    <xf numFmtId="0" fontId="10" fillId="0" borderId="35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57" xfId="0" applyFont="1" applyBorder="1" applyAlignment="1">
      <alignment horizontal="center" wrapText="1"/>
    </xf>
    <xf numFmtId="0" fontId="19" fillId="0" borderId="58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71" fillId="0" borderId="60" xfId="0" applyFont="1" applyBorder="1" applyAlignment="1">
      <alignment horizontal="center"/>
    </xf>
    <xf numFmtId="0" fontId="71" fillId="0" borderId="9" xfId="0" applyFont="1" applyBorder="1" applyAlignment="1">
      <alignment horizontal="center"/>
    </xf>
    <xf numFmtId="0" fontId="71" fillId="0" borderId="36" xfId="0" applyFont="1" applyBorder="1" applyAlignment="1">
      <alignment horizontal="center"/>
    </xf>
    <xf numFmtId="0" fontId="46" fillId="0" borderId="58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0" fillId="0" borderId="58" xfId="0" applyBorder="1" applyAlignment="1">
      <alignment vertical="center"/>
    </xf>
    <xf numFmtId="0" fontId="0" fillId="0" borderId="0" xfId="0" applyAlignment="1">
      <alignment vertical="center"/>
    </xf>
    <xf numFmtId="0" fontId="30" fillId="0" borderId="24" xfId="0" applyFont="1" applyBorder="1" applyAlignment="1">
      <alignment horizontal="center" wrapText="1"/>
    </xf>
    <xf numFmtId="0" fontId="30" fillId="0" borderId="37" xfId="0" applyFont="1" applyBorder="1" applyAlignment="1">
      <alignment horizontal="center" wrapText="1"/>
    </xf>
    <xf numFmtId="0" fontId="30" fillId="0" borderId="35" xfId="0" applyFont="1" applyBorder="1" applyAlignment="1">
      <alignment horizontal="center" wrapText="1"/>
    </xf>
    <xf numFmtId="0" fontId="30" fillId="0" borderId="20" xfId="0" applyFont="1" applyBorder="1" applyAlignment="1">
      <alignment horizontal="center" wrapText="1"/>
    </xf>
    <xf numFmtId="0" fontId="30" fillId="0" borderId="57" xfId="0" applyFont="1" applyBorder="1" applyAlignment="1">
      <alignment horizontal="center" wrapText="1"/>
    </xf>
    <xf numFmtId="0" fontId="74" fillId="0" borderId="58" xfId="0" applyFont="1" applyBorder="1" applyAlignment="1">
      <alignment horizontal="center" vertical="center"/>
    </xf>
    <xf numFmtId="0" fontId="74" fillId="0" borderId="0" xfId="0" applyFont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1" fillId="0" borderId="0" xfId="0" applyFont="1" applyBorder="1" applyAlignment="1">
      <alignment horizontal="center"/>
    </xf>
    <xf numFmtId="0" fontId="15" fillId="0" borderId="47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right"/>
    </xf>
    <xf numFmtId="0" fontId="45" fillId="0" borderId="39" xfId="0" applyFont="1" applyBorder="1" applyAlignment="1">
      <alignment horizontal="right"/>
    </xf>
    <xf numFmtId="0" fontId="0" fillId="0" borderId="58" xfId="0" applyBorder="1"/>
    <xf numFmtId="0" fontId="0" fillId="0" borderId="0" xfId="0"/>
    <xf numFmtId="0" fontId="10" fillId="17" borderId="59" xfId="0" applyFont="1" applyFill="1" applyBorder="1" applyAlignment="1">
      <alignment horizontal="center" vertical="center" wrapText="1"/>
    </xf>
    <xf numFmtId="0" fontId="10" fillId="17" borderId="24" xfId="0" applyFont="1" applyFill="1" applyBorder="1" applyAlignment="1">
      <alignment horizontal="center" vertical="center" wrapText="1"/>
    </xf>
    <xf numFmtId="0" fontId="10" fillId="17" borderId="37" xfId="0" applyFont="1" applyFill="1" applyBorder="1" applyAlignment="1">
      <alignment horizontal="center" vertical="center" wrapText="1"/>
    </xf>
    <xf numFmtId="0" fontId="10" fillId="17" borderId="11" xfId="0" applyFont="1" applyFill="1" applyBorder="1" applyAlignment="1">
      <alignment horizontal="center" vertical="center" wrapText="1"/>
    </xf>
    <xf numFmtId="0" fontId="10" fillId="17" borderId="8" xfId="0" applyFont="1" applyFill="1" applyBorder="1" applyAlignment="1">
      <alignment horizontal="center" vertical="center" wrapText="1"/>
    </xf>
    <xf numFmtId="0" fontId="10" fillId="17" borderId="27" xfId="0" applyFont="1" applyFill="1" applyBorder="1" applyAlignment="1">
      <alignment horizontal="center" vertical="center" wrapText="1"/>
    </xf>
    <xf numFmtId="0" fontId="10" fillId="17" borderId="35" xfId="0" applyFont="1" applyFill="1" applyBorder="1" applyAlignment="1">
      <alignment horizontal="center" vertical="center" wrapText="1"/>
    </xf>
    <xf numFmtId="0" fontId="10" fillId="17" borderId="20" xfId="0" applyFont="1" applyFill="1" applyBorder="1" applyAlignment="1">
      <alignment horizontal="center" vertical="center" wrapText="1"/>
    </xf>
    <xf numFmtId="0" fontId="10" fillId="17" borderId="57" xfId="0" applyFont="1" applyFill="1" applyBorder="1" applyAlignment="1">
      <alignment horizontal="center" vertical="center" wrapText="1"/>
    </xf>
    <xf numFmtId="0" fontId="19" fillId="0" borderId="60" xfId="0" applyFont="1" applyBorder="1" applyAlignment="1">
      <alignment horizontal="center" wrapText="1"/>
    </xf>
    <xf numFmtId="0" fontId="19" fillId="0" borderId="9" xfId="0" applyFont="1" applyBorder="1" applyAlignment="1">
      <alignment horizontal="center" wrapText="1"/>
    </xf>
    <xf numFmtId="0" fontId="19" fillId="0" borderId="36" xfId="0" applyFont="1" applyBorder="1" applyAlignment="1">
      <alignment horizontal="center" wrapText="1"/>
    </xf>
    <xf numFmtId="0" fontId="23" fillId="0" borderId="48" xfId="0" applyFont="1" applyBorder="1" applyAlignment="1">
      <alignment horizontal="center" vertical="center"/>
    </xf>
    <xf numFmtId="0" fontId="10" fillId="16" borderId="59" xfId="0" applyFont="1" applyFill="1" applyBorder="1" applyAlignment="1">
      <alignment horizontal="center" vertical="center" wrapText="1"/>
    </xf>
    <xf numFmtId="0" fontId="10" fillId="16" borderId="24" xfId="0" applyFont="1" applyFill="1" applyBorder="1" applyAlignment="1">
      <alignment horizontal="center" vertical="center" wrapText="1"/>
    </xf>
    <xf numFmtId="0" fontId="10" fillId="16" borderId="37" xfId="0" applyFont="1" applyFill="1" applyBorder="1" applyAlignment="1">
      <alignment horizontal="center" vertical="center" wrapText="1"/>
    </xf>
    <xf numFmtId="0" fontId="10" fillId="16" borderId="35" xfId="0" applyFont="1" applyFill="1" applyBorder="1" applyAlignment="1">
      <alignment horizontal="center" vertical="center" wrapText="1"/>
    </xf>
    <xf numFmtId="0" fontId="10" fillId="16" borderId="20" xfId="0" applyFont="1" applyFill="1" applyBorder="1" applyAlignment="1">
      <alignment horizontal="center" vertical="center" wrapText="1"/>
    </xf>
    <xf numFmtId="0" fontId="10" fillId="16" borderId="57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45" fillId="14" borderId="43" xfId="0" applyFont="1" applyFill="1" applyBorder="1" applyAlignment="1">
      <alignment horizontal="center"/>
    </xf>
    <xf numFmtId="0" fontId="45" fillId="14" borderId="50" xfId="0" applyFont="1" applyFill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64" fillId="0" borderId="0" xfId="0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0" xfId="0" applyFont="1" applyAlignment="1">
      <alignment horizontal="center"/>
    </xf>
    <xf numFmtId="0" fontId="10" fillId="0" borderId="4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T&#243;th%20Erika/AppData/Local/Microsoft/Windows/INetCache/Content.Outlook/Q5XTIA5Q/Users/Horv&#225;thn&#233;%20&#201;va/AppData/Local/Microsoft/Windows/INetCache/Content.Outlook/VDIW5YGN/K&#246;lts&#233;gvet&#233;s%202020/VASKINE/2018%20k&#246;lts&#233;g&#233;vet&#233;s/2018.&#233;vi%20k&#246;lts&#233;gvet&#233;s_tervezet.xlsx?EA0586E4" TargetMode="External"/><Relationship Id="rId1" Type="http://schemas.openxmlformats.org/officeDocument/2006/relationships/externalLinkPath" Target="file:///\\EA0586E4\2018.&#233;vi%20k&#246;lts&#233;gvet&#233;s_tervez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adások"/>
      <sheetName val="Bevételek"/>
      <sheetName val="összesítés _ támogatás"/>
    </sheetNames>
    <sheetDataSet>
      <sheetData sheetId="0">
        <row r="82">
          <cell r="C82">
            <v>41293219.340000004</v>
          </cell>
        </row>
        <row r="85">
          <cell r="C85">
            <v>139700</v>
          </cell>
        </row>
        <row r="88">
          <cell r="C88">
            <v>635000</v>
          </cell>
        </row>
        <row r="228">
          <cell r="C228">
            <v>4848755.5999999996</v>
          </cell>
        </row>
        <row r="232">
          <cell r="C232">
            <v>88900</v>
          </cell>
        </row>
        <row r="288">
          <cell r="C288">
            <v>2810487.6</v>
          </cell>
        </row>
        <row r="292">
          <cell r="C292">
            <v>76200</v>
          </cell>
        </row>
        <row r="321">
          <cell r="C321">
            <v>2680704.92</v>
          </cell>
        </row>
        <row r="324">
          <cell r="C324">
            <v>0</v>
          </cell>
        </row>
        <row r="364">
          <cell r="C364">
            <v>2941345.1</v>
          </cell>
        </row>
        <row r="367">
          <cell r="C367">
            <v>127000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2"/>
  <sheetViews>
    <sheetView topLeftCell="A301" workbookViewId="0">
      <selection sqref="A1:C1"/>
    </sheetView>
  </sheetViews>
  <sheetFormatPr defaultRowHeight="15" x14ac:dyDescent="0.25"/>
  <cols>
    <col min="2" max="2" width="65.7109375" customWidth="1"/>
    <col min="3" max="3" width="23.28515625" customWidth="1"/>
    <col min="4" max="4" width="28.7109375" customWidth="1"/>
    <col min="5" max="5" width="17.7109375" customWidth="1"/>
  </cols>
  <sheetData>
    <row r="1" spans="1:6" ht="106.5" customHeight="1" thickTop="1" thickBot="1" x14ac:dyDescent="0.3">
      <c r="A1" s="622" t="s">
        <v>269</v>
      </c>
      <c r="B1" s="623"/>
      <c r="C1" s="624"/>
    </row>
    <row r="2" spans="1:6" ht="31.5" customHeight="1" thickTop="1" x14ac:dyDescent="0.25">
      <c r="B2" s="1" t="s">
        <v>0</v>
      </c>
    </row>
    <row r="3" spans="1:6" ht="16.5" thickBot="1" x14ac:dyDescent="0.3">
      <c r="A3" s="625"/>
      <c r="B3" s="625"/>
      <c r="C3" s="2"/>
      <c r="D3" s="3"/>
      <c r="E3" s="3"/>
      <c r="F3" s="3"/>
    </row>
    <row r="4" spans="1:6" ht="22.5" thickTop="1" thickBot="1" x14ac:dyDescent="0.3">
      <c r="A4" s="4"/>
      <c r="B4" s="5" t="s">
        <v>1</v>
      </c>
      <c r="C4" s="6"/>
      <c r="D4" s="7"/>
      <c r="E4" s="7"/>
      <c r="F4" s="7"/>
    </row>
    <row r="5" spans="1:6" ht="15.75" thickTop="1" x14ac:dyDescent="0.25">
      <c r="A5" s="8" t="s">
        <v>2</v>
      </c>
      <c r="B5" s="9" t="s">
        <v>3</v>
      </c>
      <c r="C5" s="10" t="s">
        <v>4</v>
      </c>
      <c r="D5" s="11" t="s">
        <v>259</v>
      </c>
      <c r="E5" s="11"/>
      <c r="F5" s="11"/>
    </row>
    <row r="6" spans="1:6" ht="69.75" customHeight="1" x14ac:dyDescent="0.25">
      <c r="A6" s="12" t="s">
        <v>5</v>
      </c>
      <c r="B6" s="13" t="s">
        <v>267</v>
      </c>
      <c r="C6" s="14">
        <f>2166000+17423500+49029300+109620+1647000+2763032+2833880</f>
        <v>75972332</v>
      </c>
      <c r="D6" s="15" t="s">
        <v>6</v>
      </c>
    </row>
    <row r="7" spans="1:6" x14ac:dyDescent="0.25">
      <c r="A7" s="12" t="s">
        <v>5</v>
      </c>
      <c r="B7" s="16" t="s">
        <v>7</v>
      </c>
      <c r="C7" s="14">
        <v>2166000</v>
      </c>
      <c r="D7" s="17"/>
    </row>
    <row r="8" spans="1:6" x14ac:dyDescent="0.25">
      <c r="A8" s="12" t="s">
        <v>5</v>
      </c>
      <c r="B8" s="16" t="s">
        <v>8</v>
      </c>
      <c r="C8" s="14">
        <v>1275252</v>
      </c>
      <c r="D8" s="17"/>
    </row>
    <row r="9" spans="1:6" x14ac:dyDescent="0.25">
      <c r="A9" s="12" t="s">
        <v>5</v>
      </c>
      <c r="B9" s="16" t="s">
        <v>9</v>
      </c>
      <c r="C9" s="14">
        <f>637620+212544</f>
        <v>850164</v>
      </c>
      <c r="D9" s="17"/>
      <c r="E9" s="17"/>
    </row>
    <row r="10" spans="1:6" ht="45" x14ac:dyDescent="0.25">
      <c r="A10" s="12" t="s">
        <v>5</v>
      </c>
      <c r="B10" s="13" t="s">
        <v>10</v>
      </c>
      <c r="C10" s="14">
        <f>1177483+420000</f>
        <v>1597483</v>
      </c>
      <c r="D10" s="17"/>
      <c r="E10" s="17"/>
    </row>
    <row r="11" spans="1:6" x14ac:dyDescent="0.25">
      <c r="A11" s="12" t="s">
        <v>5</v>
      </c>
      <c r="B11" s="13" t="s">
        <v>11</v>
      </c>
      <c r="C11" s="14">
        <v>0</v>
      </c>
      <c r="D11" s="17"/>
      <c r="E11" s="17"/>
    </row>
    <row r="12" spans="1:6" ht="30" x14ac:dyDescent="0.25">
      <c r="A12" s="12" t="s">
        <v>12</v>
      </c>
      <c r="B12" s="13" t="s">
        <v>268</v>
      </c>
      <c r="C12" s="14">
        <f>983001+276000+1726895+1771175</f>
        <v>4757071</v>
      </c>
      <c r="D12" s="17"/>
      <c r="E12" s="17"/>
    </row>
    <row r="13" spans="1:6" x14ac:dyDescent="0.25">
      <c r="A13" s="12" t="s">
        <v>13</v>
      </c>
      <c r="B13" s="16" t="s">
        <v>14</v>
      </c>
      <c r="C13" s="14">
        <v>63000</v>
      </c>
      <c r="D13" s="17"/>
      <c r="E13" s="18"/>
    </row>
    <row r="14" spans="1:6" x14ac:dyDescent="0.25">
      <c r="A14" s="12" t="s">
        <v>15</v>
      </c>
      <c r="B14" s="16" t="s">
        <v>16</v>
      </c>
      <c r="C14" s="14">
        <v>73000</v>
      </c>
      <c r="D14" s="18"/>
      <c r="E14" s="18"/>
    </row>
    <row r="15" spans="1:6" x14ac:dyDescent="0.25">
      <c r="A15" s="12" t="s">
        <v>15</v>
      </c>
      <c r="B15" s="16" t="s">
        <v>17</v>
      </c>
      <c r="C15" s="14">
        <f>((24*8)+(22*4)+(3*12))*1000</f>
        <v>316000</v>
      </c>
      <c r="D15" s="18"/>
      <c r="E15" s="18"/>
    </row>
    <row r="16" spans="1:6" ht="45" x14ac:dyDescent="0.25">
      <c r="A16" s="12" t="s">
        <v>18</v>
      </c>
      <c r="B16" s="13" t="s">
        <v>19</v>
      </c>
      <c r="C16" s="14">
        <v>980000</v>
      </c>
      <c r="D16" s="19" t="s">
        <v>266</v>
      </c>
      <c r="E16" s="18"/>
    </row>
    <row r="17" spans="1:6" ht="30" x14ac:dyDescent="0.25">
      <c r="A17" s="12" t="s">
        <v>21</v>
      </c>
      <c r="B17" s="13" t="s">
        <v>22</v>
      </c>
      <c r="C17" s="14">
        <f>((15000*9.5)+(66000*9.5)+(24000*9.5))</f>
        <v>997500</v>
      </c>
      <c r="D17" s="18"/>
      <c r="E17" s="18"/>
    </row>
    <row r="18" spans="1:6" x14ac:dyDescent="0.25">
      <c r="A18" s="613" t="s">
        <v>23</v>
      </c>
      <c r="B18" s="614"/>
      <c r="C18" s="20">
        <f>SUM(C6:C17)</f>
        <v>89047802</v>
      </c>
      <c r="D18" s="21"/>
      <c r="E18" s="21"/>
      <c r="F18" s="22"/>
    </row>
    <row r="19" spans="1:6" x14ac:dyDescent="0.25">
      <c r="A19" s="12" t="s">
        <v>24</v>
      </c>
      <c r="B19" s="16" t="s">
        <v>25</v>
      </c>
      <c r="C19" s="14">
        <f>SUM(C6:C10,C15,C16,C17)*0.22</f>
        <v>18514040.82</v>
      </c>
      <c r="D19" s="18"/>
      <c r="E19" s="18"/>
    </row>
    <row r="20" spans="1:6" x14ac:dyDescent="0.25">
      <c r="A20" s="12" t="s">
        <v>26</v>
      </c>
      <c r="B20" s="16" t="s">
        <v>27</v>
      </c>
      <c r="C20" s="14">
        <f>C11*0.27</f>
        <v>0</v>
      </c>
      <c r="D20" s="18"/>
      <c r="E20" s="18"/>
    </row>
    <row r="21" spans="1:6" x14ac:dyDescent="0.25">
      <c r="A21" s="12"/>
      <c r="B21" s="16" t="s">
        <v>265</v>
      </c>
      <c r="C21" s="14">
        <f>C12*0.22</f>
        <v>1046555.62</v>
      </c>
      <c r="D21" s="18"/>
      <c r="E21" s="18"/>
    </row>
    <row r="22" spans="1:6" x14ac:dyDescent="0.25">
      <c r="A22" s="12"/>
      <c r="B22" s="16" t="s">
        <v>29</v>
      </c>
      <c r="C22" s="14">
        <v>20000</v>
      </c>
      <c r="D22" s="18"/>
      <c r="E22" s="18"/>
    </row>
    <row r="23" spans="1:6" x14ac:dyDescent="0.25">
      <c r="A23" s="12"/>
      <c r="B23" s="16" t="s">
        <v>30</v>
      </c>
      <c r="C23" s="14">
        <v>15000</v>
      </c>
      <c r="D23" s="18"/>
      <c r="E23" s="18"/>
    </row>
    <row r="24" spans="1:6" x14ac:dyDescent="0.25">
      <c r="A24" s="12"/>
      <c r="B24" s="16" t="s">
        <v>31</v>
      </c>
      <c r="C24" s="14">
        <v>2754000</v>
      </c>
      <c r="D24" s="17"/>
      <c r="E24" s="18"/>
    </row>
    <row r="25" spans="1:6" x14ac:dyDescent="0.25">
      <c r="A25" s="613" t="s">
        <v>32</v>
      </c>
      <c r="B25" s="614"/>
      <c r="C25" s="20">
        <f>SUM(C19:C24)</f>
        <v>22349596.440000001</v>
      </c>
      <c r="D25" s="17"/>
      <c r="E25" s="21"/>
      <c r="F25" s="22"/>
    </row>
    <row r="26" spans="1:6" x14ac:dyDescent="0.25">
      <c r="A26" s="12" t="s">
        <v>33</v>
      </c>
      <c r="B26" s="16" t="s">
        <v>34</v>
      </c>
      <c r="C26" s="14">
        <v>40000</v>
      </c>
      <c r="D26" s="18"/>
      <c r="E26" s="18"/>
    </row>
    <row r="27" spans="1:6" x14ac:dyDescent="0.25">
      <c r="A27" s="23" t="s">
        <v>35</v>
      </c>
      <c r="B27" s="24" t="s">
        <v>36</v>
      </c>
      <c r="C27" s="14">
        <v>50000</v>
      </c>
    </row>
    <row r="28" spans="1:6" x14ac:dyDescent="0.25">
      <c r="A28" s="23" t="s">
        <v>35</v>
      </c>
      <c r="B28" s="24" t="s">
        <v>37</v>
      </c>
      <c r="C28" s="14">
        <v>40000</v>
      </c>
    </row>
    <row r="29" spans="1:6" x14ac:dyDescent="0.25">
      <c r="A29" s="25" t="s">
        <v>38</v>
      </c>
      <c r="B29" s="26" t="s">
        <v>39</v>
      </c>
      <c r="C29" s="27">
        <f>SUM(C27:C28)*0.05</f>
        <v>4500</v>
      </c>
      <c r="D29" s="18"/>
      <c r="E29" s="18"/>
    </row>
    <row r="30" spans="1:6" ht="32.25" customHeight="1" x14ac:dyDescent="0.25">
      <c r="A30" s="12" t="s">
        <v>40</v>
      </c>
      <c r="B30" s="28" t="s">
        <v>41</v>
      </c>
      <c r="C30" s="14">
        <v>50000</v>
      </c>
      <c r="D30" s="619" t="s">
        <v>258</v>
      </c>
      <c r="E30" s="18"/>
    </row>
    <row r="31" spans="1:6" x14ac:dyDescent="0.25">
      <c r="A31" s="12" t="s">
        <v>40</v>
      </c>
      <c r="B31" s="29" t="s">
        <v>42</v>
      </c>
      <c r="C31" s="14">
        <v>100000</v>
      </c>
      <c r="D31" s="619"/>
      <c r="E31" s="18"/>
    </row>
    <row r="32" spans="1:6" x14ac:dyDescent="0.25">
      <c r="A32" s="12" t="s">
        <v>43</v>
      </c>
      <c r="B32" s="29" t="s">
        <v>44</v>
      </c>
      <c r="C32" s="14">
        <v>15000</v>
      </c>
      <c r="D32" s="18"/>
      <c r="E32" s="18"/>
    </row>
    <row r="33" spans="1:6" x14ac:dyDescent="0.25">
      <c r="A33" s="12" t="s">
        <v>45</v>
      </c>
      <c r="B33" s="16" t="s">
        <v>46</v>
      </c>
      <c r="C33" s="14">
        <v>350000</v>
      </c>
      <c r="D33" s="18" t="s">
        <v>257</v>
      </c>
      <c r="E33" s="18"/>
    </row>
    <row r="34" spans="1:6" x14ac:dyDescent="0.25">
      <c r="A34" s="12" t="s">
        <v>45</v>
      </c>
      <c r="B34" s="16" t="s">
        <v>47</v>
      </c>
      <c r="C34" s="14">
        <v>50000</v>
      </c>
      <c r="D34" s="18"/>
      <c r="E34" s="18"/>
    </row>
    <row r="35" spans="1:6" x14ac:dyDescent="0.25">
      <c r="A35" s="12" t="s">
        <v>48</v>
      </c>
      <c r="B35" s="16" t="s">
        <v>49</v>
      </c>
      <c r="C35" s="14">
        <v>50000</v>
      </c>
      <c r="D35" s="18"/>
      <c r="E35" s="18"/>
    </row>
    <row r="36" spans="1:6" x14ac:dyDescent="0.25">
      <c r="A36" s="12" t="s">
        <v>50</v>
      </c>
      <c r="B36" s="16" t="s">
        <v>51</v>
      </c>
      <c r="C36" s="14">
        <v>270000</v>
      </c>
      <c r="D36" s="18"/>
      <c r="E36" s="18"/>
    </row>
    <row r="37" spans="1:6" ht="59.25" customHeight="1" x14ac:dyDescent="0.25">
      <c r="A37" s="12" t="s">
        <v>52</v>
      </c>
      <c r="B37" s="13" t="s">
        <v>53</v>
      </c>
      <c r="C37" s="14">
        <v>350000</v>
      </c>
      <c r="D37" s="18"/>
      <c r="E37" s="18"/>
    </row>
    <row r="38" spans="1:6" x14ac:dyDescent="0.25">
      <c r="A38" s="12" t="s">
        <v>52</v>
      </c>
      <c r="B38" s="16" t="s">
        <v>54</v>
      </c>
      <c r="C38" s="14">
        <v>400000</v>
      </c>
      <c r="D38" s="18"/>
      <c r="E38" s="18"/>
    </row>
    <row r="39" spans="1:6" x14ac:dyDescent="0.25">
      <c r="A39" s="12" t="s">
        <v>52</v>
      </c>
      <c r="B39" s="16" t="s">
        <v>55</v>
      </c>
      <c r="C39" s="14">
        <v>100000</v>
      </c>
      <c r="D39" s="18"/>
      <c r="E39" s="18"/>
    </row>
    <row r="40" spans="1:6" x14ac:dyDescent="0.25">
      <c r="A40" s="12" t="s">
        <v>52</v>
      </c>
      <c r="B40" s="16" t="s">
        <v>56</v>
      </c>
      <c r="C40" s="14">
        <v>475000</v>
      </c>
      <c r="D40" s="18"/>
      <c r="E40" s="18"/>
    </row>
    <row r="41" spans="1:6" x14ac:dyDescent="0.25">
      <c r="A41" s="30" t="s">
        <v>38</v>
      </c>
      <c r="B41" s="31" t="s">
        <v>57</v>
      </c>
      <c r="C41" s="32">
        <f>SUM(C30:C40,C26)*0.27</f>
        <v>607500</v>
      </c>
      <c r="D41" s="18"/>
      <c r="E41" s="18"/>
    </row>
    <row r="42" spans="1:6" x14ac:dyDescent="0.25">
      <c r="A42" s="620" t="s">
        <v>58</v>
      </c>
      <c r="B42" s="621"/>
      <c r="C42" s="33">
        <f>SUM(C26:C28,C30:C40)</f>
        <v>2340000</v>
      </c>
      <c r="D42" s="34"/>
      <c r="E42" s="34"/>
      <c r="F42" s="35"/>
    </row>
    <row r="43" spans="1:6" x14ac:dyDescent="0.25">
      <c r="A43" s="12" t="s">
        <v>59</v>
      </c>
      <c r="B43" s="16" t="s">
        <v>60</v>
      </c>
      <c r="C43" s="14">
        <f>60000+36000</f>
        <v>96000</v>
      </c>
      <c r="D43" s="18"/>
      <c r="E43" s="18"/>
    </row>
    <row r="44" spans="1:6" ht="26.25" customHeight="1" x14ac:dyDescent="0.25">
      <c r="A44" s="12" t="s">
        <v>61</v>
      </c>
      <c r="B44" s="13" t="s">
        <v>62</v>
      </c>
      <c r="C44" s="14">
        <f>180000+64800+26400</f>
        <v>271200</v>
      </c>
      <c r="D44" s="18"/>
      <c r="E44" s="18"/>
    </row>
    <row r="45" spans="1:6" x14ac:dyDescent="0.25">
      <c r="A45" s="12" t="s">
        <v>63</v>
      </c>
      <c r="B45" s="16" t="s">
        <v>64</v>
      </c>
      <c r="C45" s="14">
        <f>264000+4200</f>
        <v>268200</v>
      </c>
      <c r="D45" s="18"/>
      <c r="E45" s="18"/>
    </row>
    <row r="46" spans="1:6" x14ac:dyDescent="0.25">
      <c r="A46" s="36" t="s">
        <v>38</v>
      </c>
      <c r="B46" s="37" t="s">
        <v>65</v>
      </c>
      <c r="C46" s="38">
        <f>C43*0.18</f>
        <v>17280</v>
      </c>
      <c r="D46" s="18"/>
      <c r="E46" s="18"/>
    </row>
    <row r="47" spans="1:6" x14ac:dyDescent="0.25">
      <c r="A47" s="30" t="s">
        <v>38</v>
      </c>
      <c r="B47" s="31" t="s">
        <v>57</v>
      </c>
      <c r="C47" s="32">
        <f>SUM(C44:C45)*0.27</f>
        <v>145638</v>
      </c>
      <c r="D47" s="18"/>
      <c r="E47" s="18"/>
    </row>
    <row r="48" spans="1:6" x14ac:dyDescent="0.25">
      <c r="A48" s="620" t="s">
        <v>66</v>
      </c>
      <c r="B48" s="621"/>
      <c r="C48" s="33">
        <f>SUM(C43:C45)</f>
        <v>635400</v>
      </c>
      <c r="D48" s="34"/>
      <c r="E48" s="34"/>
      <c r="F48" s="35"/>
    </row>
    <row r="49" spans="1:6" x14ac:dyDescent="0.25">
      <c r="A49" s="12" t="s">
        <v>67</v>
      </c>
      <c r="B49" s="16" t="s">
        <v>68</v>
      </c>
      <c r="C49" s="14">
        <v>3500000</v>
      </c>
      <c r="D49" s="18"/>
      <c r="E49" s="18"/>
    </row>
    <row r="50" spans="1:6" x14ac:dyDescent="0.25">
      <c r="A50" s="12" t="s">
        <v>69</v>
      </c>
      <c r="B50" s="16" t="s">
        <v>70</v>
      </c>
      <c r="C50" s="14">
        <v>1300000</v>
      </c>
      <c r="D50" s="18"/>
      <c r="E50" s="18"/>
    </row>
    <row r="51" spans="1:6" x14ac:dyDescent="0.25">
      <c r="A51" s="12" t="s">
        <v>71</v>
      </c>
      <c r="B51" s="16" t="s">
        <v>72</v>
      </c>
      <c r="C51" s="14">
        <v>750000</v>
      </c>
      <c r="D51" s="18"/>
      <c r="E51" s="18"/>
    </row>
    <row r="52" spans="1:6" x14ac:dyDescent="0.25">
      <c r="A52" s="30" t="s">
        <v>38</v>
      </c>
      <c r="B52" s="31" t="s">
        <v>57</v>
      </c>
      <c r="C52" s="32">
        <f>SUM(C49:C51)*0.27</f>
        <v>1498500</v>
      </c>
      <c r="D52" s="18"/>
      <c r="E52" s="18"/>
    </row>
    <row r="53" spans="1:6" x14ac:dyDescent="0.25">
      <c r="A53" s="620" t="s">
        <v>73</v>
      </c>
      <c r="B53" s="621"/>
      <c r="C53" s="33">
        <f>SUM(C49:C51)</f>
        <v>5550000</v>
      </c>
      <c r="D53" s="34"/>
      <c r="E53" s="34"/>
      <c r="F53" s="35"/>
    </row>
    <row r="54" spans="1:6" ht="30" x14ac:dyDescent="0.25">
      <c r="A54" s="39" t="s">
        <v>74</v>
      </c>
      <c r="B54" s="13" t="s">
        <v>75</v>
      </c>
      <c r="C54" s="40">
        <f>11740682+2452310+8004450</f>
        <v>22197442</v>
      </c>
      <c r="D54" s="34"/>
      <c r="E54" s="34"/>
      <c r="F54" s="35"/>
    </row>
    <row r="55" spans="1:6" x14ac:dyDescent="0.25">
      <c r="A55" s="41" t="s">
        <v>76</v>
      </c>
      <c r="B55" s="42" t="s">
        <v>77</v>
      </c>
      <c r="C55" s="43">
        <f>SUM(C54)*0.27</f>
        <v>5993309.3400000008</v>
      </c>
      <c r="D55" s="34"/>
      <c r="E55" s="34"/>
      <c r="F55" s="35"/>
    </row>
    <row r="56" spans="1:6" x14ac:dyDescent="0.25">
      <c r="A56" s="39"/>
      <c r="B56" s="44" t="s">
        <v>78</v>
      </c>
      <c r="C56" s="33">
        <f>SUM(C54)</f>
        <v>22197442</v>
      </c>
      <c r="D56" s="34"/>
      <c r="E56" s="34"/>
      <c r="F56" s="35"/>
    </row>
    <row r="57" spans="1:6" x14ac:dyDescent="0.25">
      <c r="A57" s="12" t="s">
        <v>79</v>
      </c>
      <c r="B57" s="16" t="s">
        <v>80</v>
      </c>
      <c r="C57" s="14">
        <v>200000</v>
      </c>
      <c r="D57" s="18"/>
      <c r="E57" s="18"/>
    </row>
    <row r="58" spans="1:6" x14ac:dyDescent="0.25">
      <c r="A58" s="12" t="s">
        <v>79</v>
      </c>
      <c r="B58" s="16" t="s">
        <v>81</v>
      </c>
      <c r="C58" s="14">
        <v>100000</v>
      </c>
      <c r="D58" s="18"/>
      <c r="E58" s="18"/>
    </row>
    <row r="59" spans="1:6" x14ac:dyDescent="0.25">
      <c r="A59" s="30" t="s">
        <v>38</v>
      </c>
      <c r="B59" s="31" t="s">
        <v>57</v>
      </c>
      <c r="C59" s="32">
        <f>SUM(C57:C58)*0.27</f>
        <v>81000</v>
      </c>
      <c r="D59" s="18"/>
      <c r="E59" s="18"/>
    </row>
    <row r="60" spans="1:6" x14ac:dyDescent="0.25">
      <c r="A60" s="620" t="s">
        <v>82</v>
      </c>
      <c r="B60" s="621"/>
      <c r="C60" s="33">
        <f>SUM(C57:C58)</f>
        <v>300000</v>
      </c>
      <c r="D60" s="34"/>
      <c r="E60" s="34"/>
      <c r="F60" s="35"/>
    </row>
    <row r="61" spans="1:6" x14ac:dyDescent="0.25">
      <c r="A61" s="45" t="s">
        <v>83</v>
      </c>
      <c r="B61" s="46" t="s">
        <v>84</v>
      </c>
      <c r="C61" s="47">
        <v>99000</v>
      </c>
      <c r="D61" s="18"/>
      <c r="E61" s="18"/>
    </row>
    <row r="62" spans="1:6" x14ac:dyDescent="0.25">
      <c r="A62" s="620" t="s">
        <v>85</v>
      </c>
      <c r="B62" s="621"/>
      <c r="C62" s="33">
        <f>SUM(C61)</f>
        <v>99000</v>
      </c>
      <c r="D62" s="34"/>
      <c r="E62" s="34"/>
      <c r="F62" s="35"/>
    </row>
    <row r="63" spans="1:6" x14ac:dyDescent="0.25">
      <c r="A63" s="12" t="s">
        <v>86</v>
      </c>
      <c r="B63" s="16" t="s">
        <v>87</v>
      </c>
      <c r="C63" s="14">
        <v>80000</v>
      </c>
      <c r="D63" s="18"/>
      <c r="E63" s="18"/>
    </row>
    <row r="64" spans="1:6" x14ac:dyDescent="0.25">
      <c r="A64" s="45" t="s">
        <v>86</v>
      </c>
      <c r="B64" s="46" t="s">
        <v>88</v>
      </c>
      <c r="C64" s="47">
        <v>200000</v>
      </c>
      <c r="D64" s="18"/>
      <c r="E64" s="18"/>
    </row>
    <row r="65" spans="1:6" x14ac:dyDescent="0.25">
      <c r="A65" s="45" t="s">
        <v>89</v>
      </c>
      <c r="B65" s="46" t="s">
        <v>90</v>
      </c>
      <c r="C65" s="47">
        <v>50000</v>
      </c>
      <c r="D65" s="18"/>
      <c r="E65" s="18"/>
    </row>
    <row r="66" spans="1:6" x14ac:dyDescent="0.25">
      <c r="A66" s="12" t="s">
        <v>91</v>
      </c>
      <c r="B66" s="16" t="s">
        <v>92</v>
      </c>
      <c r="C66" s="14">
        <v>185000</v>
      </c>
      <c r="D66" s="18"/>
      <c r="E66" s="18"/>
    </row>
    <row r="67" spans="1:6" x14ac:dyDescent="0.25">
      <c r="A67" s="45" t="s">
        <v>93</v>
      </c>
      <c r="B67" s="46" t="s">
        <v>94</v>
      </c>
      <c r="C67" s="47">
        <v>150000</v>
      </c>
      <c r="D67" s="18"/>
      <c r="E67" s="18"/>
    </row>
    <row r="68" spans="1:6" x14ac:dyDescent="0.25">
      <c r="A68" s="12" t="s">
        <v>95</v>
      </c>
      <c r="B68" s="16" t="s">
        <v>96</v>
      </c>
      <c r="C68" s="14">
        <v>50000</v>
      </c>
      <c r="D68" s="18"/>
      <c r="E68" s="18"/>
    </row>
    <row r="69" spans="1:6" x14ac:dyDescent="0.25">
      <c r="A69" s="12" t="s">
        <v>95</v>
      </c>
      <c r="B69" s="16" t="s">
        <v>97</v>
      </c>
      <c r="C69" s="14">
        <v>100000</v>
      </c>
      <c r="D69" s="18"/>
      <c r="E69" s="18"/>
    </row>
    <row r="70" spans="1:6" x14ac:dyDescent="0.25">
      <c r="A70" s="12" t="s">
        <v>95</v>
      </c>
      <c r="B70" s="16" t="s">
        <v>98</v>
      </c>
      <c r="C70" s="14">
        <v>100000</v>
      </c>
      <c r="D70" s="18"/>
      <c r="E70" s="18"/>
    </row>
    <row r="71" spans="1:6" x14ac:dyDescent="0.25">
      <c r="A71" s="12" t="s">
        <v>95</v>
      </c>
      <c r="B71" s="16" t="s">
        <v>99</v>
      </c>
      <c r="C71" s="14">
        <v>50000</v>
      </c>
      <c r="D71" s="18"/>
      <c r="E71" s="18"/>
    </row>
    <row r="72" spans="1:6" s="52" customFormat="1" x14ac:dyDescent="0.25">
      <c r="A72" s="48" t="s">
        <v>95</v>
      </c>
      <c r="B72" s="49" t="s">
        <v>100</v>
      </c>
      <c r="C72" s="50">
        <v>278000</v>
      </c>
      <c r="D72" s="51"/>
      <c r="E72" s="51"/>
    </row>
    <row r="73" spans="1:6" x14ac:dyDescent="0.25">
      <c r="A73" s="12" t="s">
        <v>95</v>
      </c>
      <c r="B73" s="16" t="s">
        <v>101</v>
      </c>
      <c r="C73" s="14">
        <v>30000</v>
      </c>
      <c r="D73" s="18"/>
      <c r="E73" s="18"/>
    </row>
    <row r="74" spans="1:6" x14ac:dyDescent="0.25">
      <c r="A74" s="30" t="s">
        <v>38</v>
      </c>
      <c r="B74" s="31" t="s">
        <v>57</v>
      </c>
      <c r="C74" s="32">
        <f>SUM(C63,C66,C68:C71,C73)*0.27</f>
        <v>160650</v>
      </c>
      <c r="D74" s="18"/>
      <c r="E74" s="18"/>
    </row>
    <row r="75" spans="1:6" x14ac:dyDescent="0.25">
      <c r="A75" s="620" t="s">
        <v>102</v>
      </c>
      <c r="B75" s="621"/>
      <c r="C75" s="33">
        <f>SUM(C63:C73)</f>
        <v>1273000</v>
      </c>
      <c r="D75" s="34"/>
      <c r="E75" s="34"/>
      <c r="F75" s="35"/>
    </row>
    <row r="76" spans="1:6" ht="30" x14ac:dyDescent="0.25">
      <c r="A76" s="45" t="s">
        <v>103</v>
      </c>
      <c r="B76" s="53" t="s">
        <v>104</v>
      </c>
      <c r="C76" s="47">
        <v>80000</v>
      </c>
      <c r="D76" s="18"/>
      <c r="E76" s="18"/>
    </row>
    <row r="77" spans="1:6" x14ac:dyDescent="0.25">
      <c r="A77" s="30" t="s">
        <v>38</v>
      </c>
      <c r="B77" s="54" t="s">
        <v>105</v>
      </c>
      <c r="C77" s="32">
        <f>C46</f>
        <v>17280</v>
      </c>
      <c r="D77" s="18"/>
      <c r="E77" s="18"/>
    </row>
    <row r="78" spans="1:6" x14ac:dyDescent="0.25">
      <c r="A78" s="30" t="s">
        <v>38</v>
      </c>
      <c r="B78" s="31" t="s">
        <v>57</v>
      </c>
      <c r="C78" s="32">
        <f>SUM(C41,C47,C52,C55,C59,C74)</f>
        <v>8486597.3399999999</v>
      </c>
      <c r="D78" s="18"/>
      <c r="E78" s="18"/>
    </row>
    <row r="79" spans="1:6" x14ac:dyDescent="0.25">
      <c r="A79" s="30" t="s">
        <v>38</v>
      </c>
      <c r="B79" s="31" t="s">
        <v>106</v>
      </c>
      <c r="C79" s="32">
        <f>SUM(C29)</f>
        <v>4500</v>
      </c>
      <c r="D79" s="18"/>
      <c r="E79" s="18"/>
    </row>
    <row r="80" spans="1:6" ht="72" customHeight="1" x14ac:dyDescent="0.25">
      <c r="A80" s="45" t="s">
        <v>107</v>
      </c>
      <c r="B80" s="53" t="s">
        <v>108</v>
      </c>
      <c r="C80" s="47">
        <v>310000</v>
      </c>
      <c r="D80" s="18"/>
      <c r="E80" s="18"/>
    </row>
    <row r="81" spans="1:6" x14ac:dyDescent="0.25">
      <c r="A81" s="620" t="s">
        <v>109</v>
      </c>
      <c r="B81" s="621"/>
      <c r="C81" s="33">
        <f>SUM(C76:C80)</f>
        <v>8898377.3399999999</v>
      </c>
      <c r="D81" s="34"/>
      <c r="E81" s="34"/>
      <c r="F81" s="35"/>
    </row>
    <row r="82" spans="1:6" x14ac:dyDescent="0.25">
      <c r="A82" s="613" t="s">
        <v>110</v>
      </c>
      <c r="B82" s="614"/>
      <c r="C82" s="20">
        <f>SUM(C42,C48,C53,C56,C60,C62,C75,C81)</f>
        <v>41293219.340000004</v>
      </c>
      <c r="D82" s="21"/>
      <c r="E82" s="21"/>
      <c r="F82" s="22"/>
    </row>
    <row r="83" spans="1:6" ht="77.25" customHeight="1" x14ac:dyDescent="0.25">
      <c r="A83" s="12" t="s">
        <v>111</v>
      </c>
      <c r="B83" s="13" t="s">
        <v>112</v>
      </c>
      <c r="C83" s="14">
        <v>110000</v>
      </c>
      <c r="D83" s="18"/>
      <c r="E83" s="18"/>
    </row>
    <row r="84" spans="1:6" x14ac:dyDescent="0.25">
      <c r="A84" s="55" t="s">
        <v>113</v>
      </c>
      <c r="B84" s="56" t="s">
        <v>114</v>
      </c>
      <c r="C84" s="57">
        <f>C83*0.27</f>
        <v>29700.000000000004</v>
      </c>
      <c r="D84" s="18"/>
      <c r="E84" s="18"/>
    </row>
    <row r="85" spans="1:6" x14ac:dyDescent="0.25">
      <c r="A85" s="598" t="s">
        <v>115</v>
      </c>
      <c r="B85" s="599"/>
      <c r="C85" s="58">
        <f>SUM(C83:C84)</f>
        <v>139700</v>
      </c>
      <c r="D85" s="18"/>
      <c r="E85" s="18"/>
    </row>
    <row r="86" spans="1:6" x14ac:dyDescent="0.25">
      <c r="A86" s="12" t="s">
        <v>116</v>
      </c>
      <c r="B86" s="13" t="s">
        <v>117</v>
      </c>
      <c r="C86" s="14">
        <v>500000</v>
      </c>
      <c r="D86" s="18"/>
      <c r="E86" s="18"/>
    </row>
    <row r="87" spans="1:6" x14ac:dyDescent="0.25">
      <c r="A87" s="30" t="s">
        <v>118</v>
      </c>
      <c r="B87" s="31" t="s">
        <v>119</v>
      </c>
      <c r="C87" s="32">
        <f>C86*0.27</f>
        <v>135000</v>
      </c>
      <c r="D87" s="18"/>
      <c r="E87" s="18"/>
    </row>
    <row r="88" spans="1:6" x14ac:dyDescent="0.25">
      <c r="A88" s="613" t="s">
        <v>120</v>
      </c>
      <c r="B88" s="614"/>
      <c r="C88" s="20">
        <f>C86+C87</f>
        <v>635000</v>
      </c>
      <c r="D88" s="21"/>
      <c r="E88" s="21"/>
      <c r="F88" s="22"/>
    </row>
    <row r="89" spans="1:6" ht="19.5" thickBot="1" x14ac:dyDescent="0.35">
      <c r="A89" s="615" t="s">
        <v>121</v>
      </c>
      <c r="B89" s="616"/>
      <c r="C89" s="59">
        <f>SUM(C18,C25,C82,C85,C88)</f>
        <v>153465317.78</v>
      </c>
      <c r="D89" s="60"/>
      <c r="E89" s="60"/>
      <c r="F89" s="3"/>
    </row>
    <row r="90" spans="1:6" ht="16.5" thickTop="1" x14ac:dyDescent="0.25">
      <c r="A90" s="61"/>
      <c r="B90" s="61"/>
      <c r="C90" s="62"/>
      <c r="D90" s="3"/>
      <c r="E90" s="63"/>
      <c r="F90" s="3"/>
    </row>
    <row r="91" spans="1:6" ht="15.75" x14ac:dyDescent="0.25">
      <c r="A91" s="61"/>
      <c r="B91" s="61"/>
      <c r="C91" s="2"/>
      <c r="D91" s="3"/>
      <c r="E91" s="63"/>
      <c r="F91" s="3"/>
    </row>
    <row r="92" spans="1:6" ht="15.75" x14ac:dyDescent="0.25">
      <c r="A92" s="61"/>
      <c r="B92" s="61"/>
      <c r="C92" s="2"/>
      <c r="D92" s="3"/>
      <c r="E92" s="63"/>
      <c r="F92" s="3"/>
    </row>
    <row r="93" spans="1:6" ht="15.75" x14ac:dyDescent="0.25">
      <c r="A93" s="61"/>
      <c r="B93" s="61"/>
      <c r="C93" s="2"/>
      <c r="D93" s="3"/>
      <c r="E93" s="63"/>
      <c r="F93" s="3"/>
    </row>
    <row r="94" spans="1:6" ht="15.75" x14ac:dyDescent="0.25">
      <c r="A94" s="61"/>
      <c r="B94" s="64"/>
      <c r="C94" s="2"/>
      <c r="D94" s="3"/>
      <c r="E94" s="63"/>
      <c r="F94" s="3"/>
    </row>
    <row r="95" spans="1:6" ht="15.75" x14ac:dyDescent="0.25">
      <c r="A95" s="61"/>
      <c r="B95" s="64"/>
      <c r="C95" s="2"/>
      <c r="D95" s="3"/>
      <c r="E95" s="63"/>
      <c r="F95" s="3"/>
    </row>
    <row r="96" spans="1:6" ht="16.5" thickBot="1" x14ac:dyDescent="0.3">
      <c r="A96" s="61"/>
      <c r="B96" s="61"/>
      <c r="C96" s="2"/>
      <c r="D96" s="3"/>
      <c r="E96" s="63"/>
      <c r="F96" s="3"/>
    </row>
    <row r="97" spans="1:6" ht="20.25" thickTop="1" thickBot="1" x14ac:dyDescent="0.3">
      <c r="B97" s="65" t="s">
        <v>122</v>
      </c>
      <c r="C97" s="23"/>
      <c r="E97" s="66"/>
    </row>
    <row r="98" spans="1:6" ht="15.75" thickTop="1" x14ac:dyDescent="0.25">
      <c r="A98" s="8" t="s">
        <v>2</v>
      </c>
      <c r="B98" s="9" t="s">
        <v>3</v>
      </c>
      <c r="C98" s="10" t="s">
        <v>4</v>
      </c>
      <c r="D98" s="11"/>
      <c r="E98" s="67"/>
      <c r="F98" s="11"/>
    </row>
    <row r="99" spans="1:6" x14ac:dyDescent="0.25">
      <c r="A99" s="16" t="s">
        <v>5</v>
      </c>
      <c r="B99" s="16" t="s">
        <v>123</v>
      </c>
      <c r="C99" s="14">
        <v>5415000</v>
      </c>
      <c r="D99" s="17"/>
      <c r="E99" s="66"/>
    </row>
    <row r="100" spans="1:6" x14ac:dyDescent="0.25">
      <c r="A100" s="16" t="s">
        <v>124</v>
      </c>
      <c r="B100" s="16" t="s">
        <v>125</v>
      </c>
      <c r="C100" s="14">
        <v>240000</v>
      </c>
      <c r="D100" s="17"/>
      <c r="E100" s="66"/>
    </row>
    <row r="101" spans="1:6" x14ac:dyDescent="0.25">
      <c r="A101" s="614" t="s">
        <v>23</v>
      </c>
      <c r="B101" s="614"/>
      <c r="C101" s="20">
        <f>SUM(C99:C100)</f>
        <v>5655000</v>
      </c>
      <c r="D101" s="17"/>
      <c r="E101" s="68"/>
      <c r="F101" s="22"/>
    </row>
    <row r="102" spans="1:6" x14ac:dyDescent="0.25">
      <c r="A102" s="16" t="s">
        <v>26</v>
      </c>
      <c r="B102" s="16" t="s">
        <v>126</v>
      </c>
      <c r="C102" s="14">
        <f>SUM(C99:C100)*0.22</f>
        <v>1244100</v>
      </c>
      <c r="E102" s="66"/>
    </row>
    <row r="103" spans="1:6" x14ac:dyDescent="0.25">
      <c r="A103" s="614" t="s">
        <v>32</v>
      </c>
      <c r="B103" s="614"/>
      <c r="C103" s="20">
        <f>SUM(C102)</f>
        <v>1244100</v>
      </c>
      <c r="D103" s="22"/>
      <c r="E103" s="68"/>
      <c r="F103" s="22"/>
    </row>
    <row r="104" spans="1:6" x14ac:dyDescent="0.25">
      <c r="A104" s="12" t="s">
        <v>127</v>
      </c>
      <c r="B104" s="16" t="s">
        <v>128</v>
      </c>
      <c r="C104" s="14">
        <v>0</v>
      </c>
      <c r="E104" s="66"/>
    </row>
    <row r="105" spans="1:6" x14ac:dyDescent="0.25">
      <c r="A105" s="12" t="s">
        <v>129</v>
      </c>
      <c r="B105" s="16" t="s">
        <v>130</v>
      </c>
      <c r="C105" s="14">
        <v>0</v>
      </c>
      <c r="E105" s="66"/>
    </row>
    <row r="106" spans="1:6" x14ac:dyDescent="0.25">
      <c r="A106" s="12" t="s">
        <v>50</v>
      </c>
      <c r="B106" s="16" t="s">
        <v>131</v>
      </c>
      <c r="C106" s="14">
        <v>0</v>
      </c>
      <c r="E106" s="66"/>
    </row>
    <row r="107" spans="1:6" x14ac:dyDescent="0.25">
      <c r="A107" s="12" t="s">
        <v>61</v>
      </c>
      <c r="B107" s="69" t="s">
        <v>132</v>
      </c>
      <c r="C107" s="70">
        <v>0</v>
      </c>
      <c r="E107" s="66"/>
    </row>
    <row r="108" spans="1:6" x14ac:dyDescent="0.25">
      <c r="A108" s="12" t="s">
        <v>67</v>
      </c>
      <c r="B108" s="69" t="s">
        <v>133</v>
      </c>
      <c r="C108" s="70">
        <v>0</v>
      </c>
      <c r="E108" s="66"/>
    </row>
    <row r="109" spans="1:6" x14ac:dyDescent="0.25">
      <c r="A109" s="12" t="s">
        <v>69</v>
      </c>
      <c r="B109" s="16" t="s">
        <v>134</v>
      </c>
      <c r="C109" s="14">
        <v>0</v>
      </c>
      <c r="E109" s="66"/>
    </row>
    <row r="110" spans="1:6" x14ac:dyDescent="0.25">
      <c r="A110" s="12" t="s">
        <v>71</v>
      </c>
      <c r="B110" s="16" t="s">
        <v>135</v>
      </c>
      <c r="C110" s="14">
        <v>0</v>
      </c>
      <c r="E110" s="66"/>
    </row>
    <row r="111" spans="1:6" x14ac:dyDescent="0.25">
      <c r="A111" s="71" t="s">
        <v>74</v>
      </c>
      <c r="B111" s="72" t="s">
        <v>136</v>
      </c>
      <c r="C111" s="73">
        <v>0</v>
      </c>
      <c r="E111" s="66"/>
    </row>
    <row r="112" spans="1:6" x14ac:dyDescent="0.25">
      <c r="A112" s="12" t="s">
        <v>74</v>
      </c>
      <c r="B112" s="16" t="s">
        <v>137</v>
      </c>
      <c r="C112" s="14">
        <v>0</v>
      </c>
      <c r="E112" s="66"/>
    </row>
    <row r="113" spans="1:6" x14ac:dyDescent="0.25">
      <c r="A113" s="12" t="s">
        <v>79</v>
      </c>
      <c r="B113" s="16" t="s">
        <v>138</v>
      </c>
      <c r="C113" s="14">
        <v>0</v>
      </c>
      <c r="E113" s="66"/>
    </row>
    <row r="114" spans="1:6" x14ac:dyDescent="0.25">
      <c r="A114" s="12" t="s">
        <v>83</v>
      </c>
      <c r="B114" s="16" t="s">
        <v>139</v>
      </c>
      <c r="C114" s="14">
        <v>0</v>
      </c>
      <c r="E114" s="66"/>
    </row>
    <row r="115" spans="1:6" x14ac:dyDescent="0.25">
      <c r="A115" s="12" t="s">
        <v>91</v>
      </c>
      <c r="B115" s="16" t="s">
        <v>140</v>
      </c>
      <c r="C115" s="14">
        <v>0</v>
      </c>
      <c r="E115" s="66"/>
    </row>
    <row r="116" spans="1:6" x14ac:dyDescent="0.25">
      <c r="A116" s="12" t="s">
        <v>91</v>
      </c>
      <c r="B116" s="16" t="s">
        <v>141</v>
      </c>
      <c r="C116" s="14">
        <v>0</v>
      </c>
      <c r="E116" s="66"/>
    </row>
    <row r="117" spans="1:6" x14ac:dyDescent="0.25">
      <c r="A117" s="12" t="s">
        <v>93</v>
      </c>
      <c r="B117" s="16" t="s">
        <v>142</v>
      </c>
      <c r="C117" s="14">
        <v>0</v>
      </c>
      <c r="E117" s="66"/>
    </row>
    <row r="118" spans="1:6" x14ac:dyDescent="0.25">
      <c r="A118" s="12" t="s">
        <v>103</v>
      </c>
      <c r="B118" s="16" t="s">
        <v>143</v>
      </c>
      <c r="C118" s="14">
        <v>0</v>
      </c>
      <c r="E118" s="66"/>
    </row>
    <row r="119" spans="1:6" x14ac:dyDescent="0.25">
      <c r="A119" s="74" t="s">
        <v>38</v>
      </c>
      <c r="B119" s="75" t="s">
        <v>65</v>
      </c>
      <c r="C119" s="76">
        <f>C111*0.18</f>
        <v>0</v>
      </c>
      <c r="E119" s="66"/>
    </row>
    <row r="120" spans="1:6" x14ac:dyDescent="0.25">
      <c r="A120" s="12" t="s">
        <v>38</v>
      </c>
      <c r="B120" s="16" t="s">
        <v>57</v>
      </c>
      <c r="C120" s="14">
        <f>C112*0.27</f>
        <v>0</v>
      </c>
      <c r="E120" s="66"/>
    </row>
    <row r="121" spans="1:6" x14ac:dyDescent="0.25">
      <c r="A121" s="596" t="s">
        <v>110</v>
      </c>
      <c r="B121" s="597"/>
      <c r="C121" s="20">
        <f>SUM(C104:C120)</f>
        <v>0</v>
      </c>
      <c r="D121" s="22"/>
      <c r="E121" s="68"/>
      <c r="F121" s="22"/>
    </row>
    <row r="122" spans="1:6" ht="19.5" thickBot="1" x14ac:dyDescent="0.35">
      <c r="A122" s="617" t="s">
        <v>144</v>
      </c>
      <c r="B122" s="618"/>
      <c r="C122" s="77">
        <f>SUM(C101,C103,C121)</f>
        <v>6899100</v>
      </c>
      <c r="D122" s="78">
        <v>6245112</v>
      </c>
      <c r="E122" s="63"/>
      <c r="F122" s="3"/>
    </row>
    <row r="123" spans="1:6" ht="19.5" thickTop="1" x14ac:dyDescent="0.3">
      <c r="A123" s="79"/>
      <c r="B123" s="79"/>
      <c r="C123" s="80"/>
      <c r="D123" s="3"/>
      <c r="E123" s="63"/>
      <c r="F123" s="3"/>
    </row>
    <row r="124" spans="1:6" ht="16.5" thickBot="1" x14ac:dyDescent="0.3">
      <c r="A124" s="61"/>
      <c r="B124" s="61"/>
      <c r="C124" s="2"/>
      <c r="D124" s="3"/>
      <c r="E124" s="63"/>
      <c r="F124" s="3"/>
    </row>
    <row r="125" spans="1:6" ht="20.25" thickTop="1" thickBot="1" x14ac:dyDescent="0.3">
      <c r="B125" s="65" t="s">
        <v>145</v>
      </c>
      <c r="C125" s="23"/>
      <c r="E125" s="66"/>
    </row>
    <row r="126" spans="1:6" ht="15.75" thickTop="1" x14ac:dyDescent="0.25">
      <c r="A126" s="8" t="s">
        <v>2</v>
      </c>
      <c r="B126" s="9" t="s">
        <v>3</v>
      </c>
      <c r="C126" s="81" t="s">
        <v>4</v>
      </c>
      <c r="D126" s="11"/>
      <c r="E126" s="67"/>
      <c r="F126" s="11"/>
    </row>
    <row r="127" spans="1:6" ht="59.25" customHeight="1" x14ac:dyDescent="0.25">
      <c r="A127" s="82" t="s">
        <v>5</v>
      </c>
      <c r="B127" s="13" t="s">
        <v>146</v>
      </c>
      <c r="C127" s="14">
        <v>6899544</v>
      </c>
      <c r="D127" s="17"/>
      <c r="E127" s="66"/>
    </row>
    <row r="128" spans="1:6" x14ac:dyDescent="0.25">
      <c r="A128" s="82" t="s">
        <v>5</v>
      </c>
      <c r="B128" s="13" t="s">
        <v>147</v>
      </c>
      <c r="C128" s="14">
        <v>283392</v>
      </c>
      <c r="D128" s="17"/>
      <c r="E128" s="66"/>
    </row>
    <row r="129" spans="1:6" ht="60" customHeight="1" x14ac:dyDescent="0.25">
      <c r="A129" s="82" t="s">
        <v>5</v>
      </c>
      <c r="B129" s="13" t="s">
        <v>148</v>
      </c>
      <c r="C129" s="14">
        <v>97112</v>
      </c>
      <c r="D129" s="17"/>
    </row>
    <row r="130" spans="1:6" x14ac:dyDescent="0.25">
      <c r="A130" s="82" t="s">
        <v>13</v>
      </c>
      <c r="B130" s="13" t="s">
        <v>149</v>
      </c>
      <c r="C130" s="14">
        <v>150000</v>
      </c>
      <c r="D130" s="17"/>
    </row>
    <row r="131" spans="1:6" x14ac:dyDescent="0.25">
      <c r="A131" s="82" t="s">
        <v>15</v>
      </c>
      <c r="B131" s="13" t="s">
        <v>16</v>
      </c>
      <c r="C131" s="14">
        <v>1000</v>
      </c>
    </row>
    <row r="132" spans="1:6" x14ac:dyDescent="0.25">
      <c r="A132" s="82" t="s">
        <v>15</v>
      </c>
      <c r="B132" s="13" t="s">
        <v>150</v>
      </c>
      <c r="C132" s="14">
        <v>36000</v>
      </c>
    </row>
    <row r="133" spans="1:6" ht="15" customHeight="1" x14ac:dyDescent="0.25">
      <c r="A133" s="602" t="s">
        <v>23</v>
      </c>
      <c r="B133" s="603"/>
      <c r="C133" s="20">
        <f>SUM(C127:C132)</f>
        <v>7467048</v>
      </c>
      <c r="D133" s="22"/>
      <c r="E133" s="22"/>
      <c r="F133" s="22"/>
    </row>
    <row r="134" spans="1:6" x14ac:dyDescent="0.25">
      <c r="A134" s="82"/>
      <c r="B134" s="13" t="s">
        <v>151</v>
      </c>
      <c r="C134" s="14">
        <f>SUM(C127:C129,C132)*0.22</f>
        <v>1609530.56</v>
      </c>
    </row>
    <row r="135" spans="1:6" x14ac:dyDescent="0.25">
      <c r="A135" s="82"/>
      <c r="B135" s="13" t="s">
        <v>29</v>
      </c>
      <c r="C135" s="14">
        <v>314</v>
      </c>
    </row>
    <row r="136" spans="1:6" x14ac:dyDescent="0.25">
      <c r="A136" s="82"/>
      <c r="B136" s="13" t="s">
        <v>30</v>
      </c>
      <c r="C136" s="14">
        <v>215</v>
      </c>
    </row>
    <row r="137" spans="1:6" ht="15" customHeight="1" x14ac:dyDescent="0.25">
      <c r="A137" s="602" t="s">
        <v>32</v>
      </c>
      <c r="B137" s="603"/>
      <c r="C137" s="20">
        <f>SUM(C134:C136)</f>
        <v>1610059.56</v>
      </c>
      <c r="D137" s="22"/>
      <c r="E137" s="22"/>
      <c r="F137" s="22"/>
    </row>
    <row r="138" spans="1:6" x14ac:dyDescent="0.25">
      <c r="A138" s="82" t="s">
        <v>127</v>
      </c>
      <c r="B138" s="13" t="s">
        <v>152</v>
      </c>
      <c r="C138" s="14">
        <v>50000</v>
      </c>
      <c r="D138" s="22"/>
      <c r="E138" s="22"/>
      <c r="F138" s="22"/>
    </row>
    <row r="139" spans="1:6" x14ac:dyDescent="0.25">
      <c r="A139" s="82" t="s">
        <v>33</v>
      </c>
      <c r="B139" s="13" t="s">
        <v>34</v>
      </c>
      <c r="C139" s="14">
        <v>15000</v>
      </c>
    </row>
    <row r="140" spans="1:6" x14ac:dyDescent="0.25">
      <c r="A140" s="82" t="s">
        <v>43</v>
      </c>
      <c r="B140" s="13" t="s">
        <v>44</v>
      </c>
      <c r="C140" s="14">
        <v>15000</v>
      </c>
    </row>
    <row r="141" spans="1:6" x14ac:dyDescent="0.25">
      <c r="A141" s="82" t="s">
        <v>50</v>
      </c>
      <c r="B141" s="13" t="s">
        <v>153</v>
      </c>
      <c r="C141" s="14">
        <v>30000</v>
      </c>
    </row>
    <row r="142" spans="1:6" x14ac:dyDescent="0.25">
      <c r="A142" s="82" t="s">
        <v>52</v>
      </c>
      <c r="B142" s="13" t="s">
        <v>154</v>
      </c>
      <c r="C142" s="14">
        <v>60000</v>
      </c>
    </row>
    <row r="143" spans="1:6" ht="30" x14ac:dyDescent="0.25">
      <c r="A143" s="82" t="s">
        <v>52</v>
      </c>
      <c r="B143" s="13" t="s">
        <v>155</v>
      </c>
      <c r="C143" s="14">
        <v>21260</v>
      </c>
    </row>
    <row r="144" spans="1:6" x14ac:dyDescent="0.25">
      <c r="A144" s="594" t="s">
        <v>58</v>
      </c>
      <c r="B144" s="595"/>
      <c r="C144" s="33">
        <f>SUM(C138:C143)</f>
        <v>191260</v>
      </c>
      <c r="D144" s="35"/>
      <c r="E144" s="35"/>
      <c r="F144" s="35"/>
    </row>
    <row r="145" spans="1:6" x14ac:dyDescent="0.25">
      <c r="A145" s="83" t="s">
        <v>38</v>
      </c>
      <c r="B145" s="56" t="s">
        <v>57</v>
      </c>
      <c r="C145" s="57">
        <f>SUM(C138:C143)*0.27</f>
        <v>51640.200000000004</v>
      </c>
      <c r="D145" s="35"/>
      <c r="E145" s="35"/>
      <c r="F145" s="35"/>
    </row>
    <row r="146" spans="1:6" x14ac:dyDescent="0.25">
      <c r="A146" s="82" t="s">
        <v>63</v>
      </c>
      <c r="B146" s="13" t="s">
        <v>156</v>
      </c>
      <c r="C146" s="14">
        <v>6000</v>
      </c>
    </row>
    <row r="147" spans="1:6" x14ac:dyDescent="0.25">
      <c r="A147" s="594" t="s">
        <v>66</v>
      </c>
      <c r="B147" s="595"/>
      <c r="C147" s="33">
        <f>SUM(C146:C146)</f>
        <v>6000</v>
      </c>
      <c r="D147" s="35"/>
      <c r="E147" s="35"/>
      <c r="F147" s="35"/>
    </row>
    <row r="148" spans="1:6" x14ac:dyDescent="0.25">
      <c r="A148" s="39" t="s">
        <v>74</v>
      </c>
      <c r="B148" s="13" t="s">
        <v>157</v>
      </c>
      <c r="C148" s="84">
        <f>1060905+204910</f>
        <v>1265815</v>
      </c>
      <c r="D148" s="35"/>
      <c r="E148" s="35"/>
      <c r="F148" s="35"/>
    </row>
    <row r="149" spans="1:6" x14ac:dyDescent="0.25">
      <c r="A149" s="85" t="s">
        <v>38</v>
      </c>
      <c r="B149" s="86" t="s">
        <v>77</v>
      </c>
      <c r="C149" s="87">
        <f>SUM(C148)*0.27</f>
        <v>341770.05000000005</v>
      </c>
      <c r="D149" s="35"/>
      <c r="E149" s="35"/>
      <c r="F149" s="35"/>
    </row>
    <row r="150" spans="1:6" x14ac:dyDescent="0.25">
      <c r="A150" s="88"/>
      <c r="B150" s="44" t="s">
        <v>158</v>
      </c>
      <c r="C150" s="33">
        <f>SUM(C148)</f>
        <v>1265815</v>
      </c>
      <c r="D150" s="35"/>
      <c r="E150" s="35"/>
      <c r="F150" s="35"/>
    </row>
    <row r="151" spans="1:6" x14ac:dyDescent="0.25">
      <c r="A151" s="89" t="s">
        <v>83</v>
      </c>
      <c r="B151" s="53" t="s">
        <v>159</v>
      </c>
      <c r="C151" s="47">
        <v>9900</v>
      </c>
    </row>
    <row r="152" spans="1:6" x14ac:dyDescent="0.25">
      <c r="A152" s="89" t="s">
        <v>93</v>
      </c>
      <c r="B152" s="53" t="s">
        <v>94</v>
      </c>
      <c r="C152" s="47">
        <v>50000</v>
      </c>
    </row>
    <row r="153" spans="1:6" x14ac:dyDescent="0.25">
      <c r="A153" s="594" t="s">
        <v>85</v>
      </c>
      <c r="B153" s="595"/>
      <c r="C153" s="33">
        <f>SUM(C151:C152)</f>
        <v>59900</v>
      </c>
      <c r="D153" s="35"/>
      <c r="E153" s="35"/>
      <c r="F153" s="35"/>
    </row>
    <row r="154" spans="1:6" x14ac:dyDescent="0.25">
      <c r="A154" s="83" t="s">
        <v>38</v>
      </c>
      <c r="B154" s="56" t="s">
        <v>160</v>
      </c>
      <c r="C154" s="57">
        <f>SUM(C145+C149)</f>
        <v>393410.25000000006</v>
      </c>
      <c r="E154" s="18"/>
    </row>
    <row r="155" spans="1:6" x14ac:dyDescent="0.25">
      <c r="A155" s="596" t="s">
        <v>110</v>
      </c>
      <c r="B155" s="597"/>
      <c r="C155" s="20">
        <f>SUM(C153,C150,C147,C144,C154)</f>
        <v>1916385.25</v>
      </c>
      <c r="D155" s="35"/>
      <c r="E155" s="35"/>
      <c r="F155" s="35"/>
    </row>
    <row r="156" spans="1:6" ht="45" customHeight="1" x14ac:dyDescent="0.25">
      <c r="A156" s="12" t="s">
        <v>111</v>
      </c>
      <c r="B156" s="13" t="s">
        <v>161</v>
      </c>
      <c r="C156" s="14">
        <v>100000</v>
      </c>
      <c r="D156" s="18"/>
      <c r="E156" s="18"/>
    </row>
    <row r="157" spans="1:6" x14ac:dyDescent="0.25">
      <c r="A157" s="55" t="s">
        <v>113</v>
      </c>
      <c r="B157" s="56" t="s">
        <v>114</v>
      </c>
      <c r="C157" s="57">
        <f>C156*0.27</f>
        <v>27000</v>
      </c>
      <c r="D157" s="18"/>
      <c r="E157" s="18"/>
    </row>
    <row r="158" spans="1:6" x14ac:dyDescent="0.25">
      <c r="A158" s="598" t="s">
        <v>115</v>
      </c>
      <c r="B158" s="599"/>
      <c r="C158" s="58">
        <f>SUM(C156:C157)</f>
        <v>127000</v>
      </c>
      <c r="D158" s="18"/>
      <c r="E158" s="18"/>
    </row>
    <row r="159" spans="1:6" ht="19.5" thickBot="1" x14ac:dyDescent="0.35">
      <c r="A159" s="600" t="s">
        <v>162</v>
      </c>
      <c r="B159" s="601"/>
      <c r="C159" s="59">
        <f>SUM(C158,C155,C137,C133)-1</f>
        <v>11120491.810000001</v>
      </c>
      <c r="D159" s="3"/>
      <c r="E159" s="63"/>
      <c r="F159" s="3"/>
    </row>
    <row r="160" spans="1:6" ht="15.75" thickTop="1" x14ac:dyDescent="0.25">
      <c r="C160" s="23"/>
    </row>
    <row r="161" spans="1:6" x14ac:dyDescent="0.25">
      <c r="C161" s="23"/>
    </row>
    <row r="162" spans="1:6" ht="15.75" x14ac:dyDescent="0.25">
      <c r="A162" s="612"/>
      <c r="B162" s="612"/>
      <c r="C162" s="90"/>
      <c r="D162" s="91"/>
      <c r="E162" s="91"/>
      <c r="F162" s="91"/>
    </row>
    <row r="163" spans="1:6" ht="15.75" thickBot="1" x14ac:dyDescent="0.3"/>
    <row r="164" spans="1:6" ht="22.5" thickTop="1" thickBot="1" x14ac:dyDescent="0.3">
      <c r="B164" s="92" t="s">
        <v>163</v>
      </c>
    </row>
    <row r="165" spans="1:6" ht="15.75" thickTop="1" x14ac:dyDescent="0.25">
      <c r="A165" s="8" t="s">
        <v>2</v>
      </c>
      <c r="B165" s="9" t="s">
        <v>3</v>
      </c>
      <c r="C165" s="81" t="s">
        <v>4</v>
      </c>
    </row>
    <row r="166" spans="1:6" ht="30" x14ac:dyDescent="0.25">
      <c r="A166" s="93" t="s">
        <v>5</v>
      </c>
      <c r="B166" s="94" t="s">
        <v>164</v>
      </c>
      <c r="C166" s="95">
        <f>10495200+24000</f>
        <v>10519200</v>
      </c>
      <c r="D166" t="s">
        <v>165</v>
      </c>
    </row>
    <row r="167" spans="1:6" x14ac:dyDescent="0.25">
      <c r="A167" s="93" t="s">
        <v>5</v>
      </c>
      <c r="B167" s="96" t="s">
        <v>166</v>
      </c>
      <c r="C167" s="95">
        <v>4418340</v>
      </c>
    </row>
    <row r="168" spans="1:6" ht="33" customHeight="1" x14ac:dyDescent="0.25">
      <c r="A168" s="93" t="s">
        <v>5</v>
      </c>
      <c r="B168" s="94" t="s">
        <v>167</v>
      </c>
      <c r="C168" s="95">
        <v>240000</v>
      </c>
      <c r="D168" t="s">
        <v>168</v>
      </c>
    </row>
    <row r="169" spans="1:6" x14ac:dyDescent="0.25">
      <c r="A169" s="93" t="s">
        <v>169</v>
      </c>
      <c r="B169" s="13" t="s">
        <v>170</v>
      </c>
      <c r="C169" s="95">
        <v>1300000</v>
      </c>
    </row>
    <row r="170" spans="1:6" x14ac:dyDescent="0.25">
      <c r="A170" s="93" t="s">
        <v>12</v>
      </c>
      <c r="B170" s="13" t="s">
        <v>171</v>
      </c>
      <c r="C170" s="95">
        <v>732324</v>
      </c>
    </row>
    <row r="171" spans="1:6" x14ac:dyDescent="0.25">
      <c r="A171" s="93" t="s">
        <v>13</v>
      </c>
      <c r="B171" s="96" t="s">
        <v>172</v>
      </c>
      <c r="C171" s="95">
        <v>20000</v>
      </c>
    </row>
    <row r="172" spans="1:6" x14ac:dyDescent="0.25">
      <c r="A172" s="93" t="s">
        <v>15</v>
      </c>
      <c r="B172" s="96" t="s">
        <v>16</v>
      </c>
      <c r="C172" s="95">
        <v>15000</v>
      </c>
    </row>
    <row r="173" spans="1:6" x14ac:dyDescent="0.25">
      <c r="A173" s="93" t="s">
        <v>15</v>
      </c>
      <c r="B173" s="96" t="s">
        <v>173</v>
      </c>
      <c r="C173" s="95">
        <v>60000</v>
      </c>
    </row>
    <row r="174" spans="1:6" ht="15.75" x14ac:dyDescent="0.25">
      <c r="A174" s="606" t="s">
        <v>23</v>
      </c>
      <c r="B174" s="607"/>
      <c r="C174" s="97">
        <f>SUM(C166:C173)</f>
        <v>17304864</v>
      </c>
    </row>
    <row r="175" spans="1:6" x14ac:dyDescent="0.25">
      <c r="A175" s="93" t="s">
        <v>24</v>
      </c>
      <c r="B175" s="96" t="s">
        <v>25</v>
      </c>
      <c r="C175" s="95">
        <f>SUM(C166:C169,C173)*0.22</f>
        <v>3638258.8</v>
      </c>
    </row>
    <row r="176" spans="1:6" x14ac:dyDescent="0.25">
      <c r="A176" s="93"/>
      <c r="B176" s="96" t="s">
        <v>174</v>
      </c>
      <c r="C176" s="95">
        <f>C170*0.22</f>
        <v>161111.28</v>
      </c>
    </row>
    <row r="177" spans="1:4" x14ac:dyDescent="0.25">
      <c r="A177" s="93"/>
      <c r="B177" s="96" t="s">
        <v>29</v>
      </c>
      <c r="C177" s="95">
        <v>4800</v>
      </c>
    </row>
    <row r="178" spans="1:4" x14ac:dyDescent="0.25">
      <c r="A178" s="93"/>
      <c r="B178" s="96" t="s">
        <v>30</v>
      </c>
      <c r="C178" s="95">
        <v>3465</v>
      </c>
    </row>
    <row r="179" spans="1:4" ht="15.75" x14ac:dyDescent="0.25">
      <c r="A179" s="606" t="s">
        <v>32</v>
      </c>
      <c r="B179" s="607"/>
      <c r="C179" s="97">
        <f>SUM(C175:C178)</f>
        <v>3807635.0799999996</v>
      </c>
    </row>
    <row r="180" spans="1:4" x14ac:dyDescent="0.25">
      <c r="A180" s="93" t="s">
        <v>33</v>
      </c>
      <c r="B180" s="96" t="s">
        <v>44</v>
      </c>
      <c r="C180" s="95">
        <v>55000</v>
      </c>
    </row>
    <row r="181" spans="1:4" x14ac:dyDescent="0.25">
      <c r="A181" s="98" t="s">
        <v>127</v>
      </c>
      <c r="B181" s="99" t="s">
        <v>175</v>
      </c>
      <c r="C181" s="100">
        <v>30000</v>
      </c>
    </row>
    <row r="182" spans="1:4" x14ac:dyDescent="0.25">
      <c r="A182" s="93" t="s">
        <v>45</v>
      </c>
      <c r="B182" s="94" t="s">
        <v>46</v>
      </c>
      <c r="C182" s="95">
        <v>175000</v>
      </c>
      <c r="D182" t="s">
        <v>176</v>
      </c>
    </row>
    <row r="183" spans="1:4" x14ac:dyDescent="0.25">
      <c r="A183" s="93" t="s">
        <v>45</v>
      </c>
      <c r="B183" s="94" t="s">
        <v>47</v>
      </c>
      <c r="C183" s="95">
        <v>35000</v>
      </c>
    </row>
    <row r="184" spans="1:4" x14ac:dyDescent="0.25">
      <c r="A184" s="93" t="s">
        <v>48</v>
      </c>
      <c r="B184" s="101" t="s">
        <v>177</v>
      </c>
      <c r="C184" s="102">
        <v>250000</v>
      </c>
    </row>
    <row r="185" spans="1:4" ht="30" x14ac:dyDescent="0.25">
      <c r="A185" s="93" t="s">
        <v>50</v>
      </c>
      <c r="B185" s="101" t="s">
        <v>178</v>
      </c>
      <c r="C185" s="102">
        <v>90000</v>
      </c>
    </row>
    <row r="186" spans="1:4" x14ac:dyDescent="0.25">
      <c r="A186" s="93" t="s">
        <v>52</v>
      </c>
      <c r="B186" s="94" t="s">
        <v>179</v>
      </c>
      <c r="C186" s="103">
        <v>65000</v>
      </c>
    </row>
    <row r="187" spans="1:4" x14ac:dyDescent="0.25">
      <c r="A187" s="93" t="s">
        <v>52</v>
      </c>
      <c r="B187" s="94" t="s">
        <v>55</v>
      </c>
      <c r="C187" s="103">
        <v>100000</v>
      </c>
    </row>
    <row r="188" spans="1:4" x14ac:dyDescent="0.25">
      <c r="A188" s="93" t="s">
        <v>52</v>
      </c>
      <c r="B188" s="94" t="s">
        <v>180</v>
      </c>
      <c r="C188" s="103">
        <v>150000</v>
      </c>
    </row>
    <row r="189" spans="1:4" x14ac:dyDescent="0.25">
      <c r="A189" s="104" t="s">
        <v>38</v>
      </c>
      <c r="B189" s="56" t="s">
        <v>57</v>
      </c>
      <c r="C189" s="105">
        <f>SUM(C180,C182:C188)*0.27</f>
        <v>248400.00000000003</v>
      </c>
    </row>
    <row r="190" spans="1:4" x14ac:dyDescent="0.25">
      <c r="A190" s="98" t="s">
        <v>38</v>
      </c>
      <c r="B190" s="106" t="s">
        <v>106</v>
      </c>
      <c r="C190" s="107">
        <f>SUM(C181)*0.05</f>
        <v>1500</v>
      </c>
    </row>
    <row r="191" spans="1:4" x14ac:dyDescent="0.25">
      <c r="A191" s="604" t="s">
        <v>58</v>
      </c>
      <c r="B191" s="605"/>
      <c r="C191" s="108">
        <f>SUM(C180:C188)</f>
        <v>950000</v>
      </c>
    </row>
    <row r="192" spans="1:4" x14ac:dyDescent="0.25">
      <c r="A192" s="93" t="s">
        <v>59</v>
      </c>
      <c r="B192" s="13" t="s">
        <v>181</v>
      </c>
      <c r="C192" s="109">
        <v>36000</v>
      </c>
    </row>
    <row r="193" spans="1:4" x14ac:dyDescent="0.25">
      <c r="A193" s="110" t="s">
        <v>61</v>
      </c>
      <c r="B193" s="111" t="s">
        <v>182</v>
      </c>
      <c r="C193" s="112">
        <v>90000</v>
      </c>
    </row>
    <row r="194" spans="1:4" x14ac:dyDescent="0.25">
      <c r="A194" s="93" t="s">
        <v>63</v>
      </c>
      <c r="B194" s="96" t="s">
        <v>183</v>
      </c>
      <c r="C194" s="109">
        <f>79200+2080</f>
        <v>81280</v>
      </c>
    </row>
    <row r="195" spans="1:4" x14ac:dyDescent="0.25">
      <c r="A195" s="104" t="s">
        <v>38</v>
      </c>
      <c r="B195" s="56" t="s">
        <v>65</v>
      </c>
      <c r="C195" s="113">
        <f>C192*0.18</f>
        <v>6480</v>
      </c>
    </row>
    <row r="196" spans="1:4" x14ac:dyDescent="0.25">
      <c r="A196" s="104" t="s">
        <v>38</v>
      </c>
      <c r="B196" s="56" t="s">
        <v>57</v>
      </c>
      <c r="C196" s="113">
        <f>SUM(C193:C194)*0.27</f>
        <v>46245.600000000006</v>
      </c>
    </row>
    <row r="197" spans="1:4" x14ac:dyDescent="0.25">
      <c r="A197" s="604" t="s">
        <v>66</v>
      </c>
      <c r="B197" s="605"/>
      <c r="C197" s="114">
        <f>SUM(C192:C194)</f>
        <v>207280</v>
      </c>
    </row>
    <row r="198" spans="1:4" x14ac:dyDescent="0.25">
      <c r="A198" s="93" t="s">
        <v>69</v>
      </c>
      <c r="B198" s="96" t="s">
        <v>68</v>
      </c>
      <c r="C198" s="109">
        <v>400000</v>
      </c>
    </row>
    <row r="199" spans="1:4" x14ac:dyDescent="0.25">
      <c r="A199" s="93" t="s">
        <v>67</v>
      </c>
      <c r="B199" s="96" t="s">
        <v>70</v>
      </c>
      <c r="C199" s="109">
        <v>225000</v>
      </c>
    </row>
    <row r="200" spans="1:4" x14ac:dyDescent="0.25">
      <c r="A200" s="93" t="s">
        <v>71</v>
      </c>
      <c r="B200" s="96" t="s">
        <v>72</v>
      </c>
      <c r="C200" s="109">
        <v>165000</v>
      </c>
    </row>
    <row r="201" spans="1:4" x14ac:dyDescent="0.25">
      <c r="A201" s="104" t="s">
        <v>38</v>
      </c>
      <c r="B201" s="56" t="s">
        <v>57</v>
      </c>
      <c r="C201" s="113">
        <f>SUM(C198:C200)*0.27</f>
        <v>213300</v>
      </c>
    </row>
    <row r="202" spans="1:4" x14ac:dyDescent="0.25">
      <c r="A202" s="604" t="s">
        <v>73</v>
      </c>
      <c r="B202" s="605"/>
      <c r="C202" s="114">
        <f>SUM(C198:C200)</f>
        <v>790000</v>
      </c>
    </row>
    <row r="203" spans="1:4" x14ac:dyDescent="0.25">
      <c r="A203" s="93" t="s">
        <v>79</v>
      </c>
      <c r="B203" s="96" t="s">
        <v>184</v>
      </c>
      <c r="C203" s="109">
        <v>100000</v>
      </c>
    </row>
    <row r="204" spans="1:4" x14ac:dyDescent="0.25">
      <c r="A204" s="93" t="s">
        <v>79</v>
      </c>
      <c r="B204" s="96" t="s">
        <v>185</v>
      </c>
      <c r="C204" s="109">
        <v>100000</v>
      </c>
    </row>
    <row r="205" spans="1:4" x14ac:dyDescent="0.25">
      <c r="A205" s="104" t="s">
        <v>38</v>
      </c>
      <c r="B205" s="56" t="s">
        <v>57</v>
      </c>
      <c r="C205" s="115">
        <f>SUM(C203+C204)*0.27</f>
        <v>54000</v>
      </c>
    </row>
    <row r="206" spans="1:4" x14ac:dyDescent="0.25">
      <c r="A206" s="604" t="s">
        <v>82</v>
      </c>
      <c r="B206" s="605"/>
      <c r="C206" s="108">
        <f>SUM(C203+C204)</f>
        <v>200000</v>
      </c>
    </row>
    <row r="207" spans="1:4" ht="60.75" customHeight="1" x14ac:dyDescent="0.25">
      <c r="A207" s="116" t="s">
        <v>186</v>
      </c>
      <c r="B207" s="117" t="s">
        <v>187</v>
      </c>
      <c r="C207" s="118">
        <v>840000</v>
      </c>
      <c r="D207" s="119" t="s">
        <v>188</v>
      </c>
    </row>
    <row r="208" spans="1:4" x14ac:dyDescent="0.25">
      <c r="A208" s="120" t="s">
        <v>83</v>
      </c>
      <c r="B208" s="121" t="s">
        <v>189</v>
      </c>
      <c r="C208" s="122">
        <v>16500</v>
      </c>
    </row>
    <row r="209" spans="1:3" x14ac:dyDescent="0.25">
      <c r="A209" s="604" t="s">
        <v>85</v>
      </c>
      <c r="B209" s="605"/>
      <c r="C209" s="108">
        <f>SUM(C207:C208)</f>
        <v>856500</v>
      </c>
    </row>
    <row r="210" spans="1:3" x14ac:dyDescent="0.25">
      <c r="A210" s="120" t="s">
        <v>89</v>
      </c>
      <c r="B210" s="121" t="s">
        <v>90</v>
      </c>
      <c r="C210" s="122">
        <v>50000</v>
      </c>
    </row>
    <row r="211" spans="1:3" x14ac:dyDescent="0.25">
      <c r="A211" s="123" t="s">
        <v>190</v>
      </c>
      <c r="B211" s="124" t="s">
        <v>191</v>
      </c>
      <c r="C211" s="125">
        <v>250000</v>
      </c>
    </row>
    <row r="212" spans="1:3" x14ac:dyDescent="0.25">
      <c r="A212" s="93" t="s">
        <v>91</v>
      </c>
      <c r="B212" s="96" t="s">
        <v>192</v>
      </c>
      <c r="C212" s="95">
        <v>10000</v>
      </c>
    </row>
    <row r="213" spans="1:3" x14ac:dyDescent="0.25">
      <c r="A213" s="93" t="s">
        <v>91</v>
      </c>
      <c r="B213" s="96" t="s">
        <v>193</v>
      </c>
      <c r="C213" s="95">
        <v>20000</v>
      </c>
    </row>
    <row r="214" spans="1:3" x14ac:dyDescent="0.25">
      <c r="A214" s="120" t="s">
        <v>93</v>
      </c>
      <c r="B214" s="121" t="s">
        <v>94</v>
      </c>
      <c r="C214" s="122">
        <v>20000</v>
      </c>
    </row>
    <row r="215" spans="1:3" x14ac:dyDescent="0.25">
      <c r="A215" s="93" t="s">
        <v>95</v>
      </c>
      <c r="B215" s="96" t="s">
        <v>194</v>
      </c>
      <c r="C215" s="95">
        <v>15000</v>
      </c>
    </row>
    <row r="216" spans="1:3" x14ac:dyDescent="0.25">
      <c r="A216" s="93" t="s">
        <v>95</v>
      </c>
      <c r="B216" s="96" t="s">
        <v>87</v>
      </c>
      <c r="C216" s="95">
        <v>30000</v>
      </c>
    </row>
    <row r="217" spans="1:3" x14ac:dyDescent="0.25">
      <c r="A217" s="93" t="s">
        <v>95</v>
      </c>
      <c r="B217" s="96" t="s">
        <v>101</v>
      </c>
      <c r="C217" s="95">
        <v>20000</v>
      </c>
    </row>
    <row r="218" spans="1:3" x14ac:dyDescent="0.25">
      <c r="A218" s="123" t="s">
        <v>95</v>
      </c>
      <c r="B218" s="124" t="s">
        <v>195</v>
      </c>
      <c r="C218" s="125">
        <v>150000</v>
      </c>
    </row>
    <row r="219" spans="1:3" x14ac:dyDescent="0.25">
      <c r="A219" s="104" t="s">
        <v>38</v>
      </c>
      <c r="B219" s="56" t="s">
        <v>57</v>
      </c>
      <c r="C219" s="115">
        <f>SUM(C211:C213,C215:C218)*0.27</f>
        <v>133650</v>
      </c>
    </row>
    <row r="220" spans="1:3" x14ac:dyDescent="0.25">
      <c r="A220" s="604" t="s">
        <v>102</v>
      </c>
      <c r="B220" s="605"/>
      <c r="C220" s="108">
        <f>SUM(C210:C218)</f>
        <v>565000</v>
      </c>
    </row>
    <row r="221" spans="1:3" x14ac:dyDescent="0.25">
      <c r="A221" s="120" t="s">
        <v>103</v>
      </c>
      <c r="B221" s="53" t="s">
        <v>196</v>
      </c>
      <c r="C221" s="122">
        <v>170000</v>
      </c>
    </row>
    <row r="222" spans="1:3" x14ac:dyDescent="0.25">
      <c r="A222" s="104" t="s">
        <v>197</v>
      </c>
      <c r="B222" s="126" t="s">
        <v>198</v>
      </c>
      <c r="C222" s="115">
        <f>C195</f>
        <v>6480</v>
      </c>
    </row>
    <row r="223" spans="1:3" x14ac:dyDescent="0.25">
      <c r="A223" s="104" t="s">
        <v>38</v>
      </c>
      <c r="B223" s="126" t="s">
        <v>199</v>
      </c>
      <c r="C223" s="115">
        <f>SUM(C189,C196,C201,C205,C219)</f>
        <v>695595.60000000009</v>
      </c>
    </row>
    <row r="224" spans="1:3" x14ac:dyDescent="0.25">
      <c r="A224" s="127" t="s">
        <v>38</v>
      </c>
      <c r="B224" s="128" t="s">
        <v>106</v>
      </c>
      <c r="C224" s="129">
        <f>C190</f>
        <v>1500</v>
      </c>
    </row>
    <row r="225" spans="1:4" ht="30" x14ac:dyDescent="0.25">
      <c r="A225" s="120" t="s">
        <v>107</v>
      </c>
      <c r="B225" s="53" t="s">
        <v>200</v>
      </c>
      <c r="C225" s="122">
        <v>300000</v>
      </c>
    </row>
    <row r="226" spans="1:4" x14ac:dyDescent="0.25">
      <c r="A226" s="120" t="s">
        <v>201</v>
      </c>
      <c r="B226" s="130" t="s">
        <v>202</v>
      </c>
      <c r="C226" s="131">
        <v>106400</v>
      </c>
    </row>
    <row r="227" spans="1:4" x14ac:dyDescent="0.25">
      <c r="A227" s="604" t="s">
        <v>109</v>
      </c>
      <c r="B227" s="605"/>
      <c r="C227" s="108">
        <f>SUM(C221:C226)</f>
        <v>1279975.6000000001</v>
      </c>
    </row>
    <row r="228" spans="1:4" ht="15.75" x14ac:dyDescent="0.25">
      <c r="A228" s="606" t="s">
        <v>110</v>
      </c>
      <c r="B228" s="607"/>
      <c r="C228" s="97">
        <f>SUM(C191,C197,C202,C206,C209,C220,C227)</f>
        <v>4848755.5999999996</v>
      </c>
    </row>
    <row r="229" spans="1:4" ht="15.75" x14ac:dyDescent="0.25">
      <c r="A229" s="110" t="s">
        <v>203</v>
      </c>
      <c r="B229" s="111" t="s">
        <v>204</v>
      </c>
      <c r="C229" s="132">
        <v>0</v>
      </c>
    </row>
    <row r="230" spans="1:4" x14ac:dyDescent="0.25">
      <c r="A230" s="93" t="s">
        <v>111</v>
      </c>
      <c r="B230" s="13" t="s">
        <v>205</v>
      </c>
      <c r="C230" s="95">
        <v>70000</v>
      </c>
    </row>
    <row r="231" spans="1:4" x14ac:dyDescent="0.25">
      <c r="A231" s="104" t="s">
        <v>113</v>
      </c>
      <c r="B231" s="56" t="s">
        <v>114</v>
      </c>
      <c r="C231" s="115">
        <f>SUM(C229:C230)*0.27</f>
        <v>18900</v>
      </c>
    </row>
    <row r="232" spans="1:4" x14ac:dyDescent="0.25">
      <c r="A232" s="93"/>
      <c r="B232" s="133" t="s">
        <v>115</v>
      </c>
      <c r="C232" s="134">
        <f>SUM(C230:C231)</f>
        <v>88900</v>
      </c>
    </row>
    <row r="233" spans="1:4" ht="15.75" thickBot="1" x14ac:dyDescent="0.3">
      <c r="A233" s="135"/>
      <c r="B233" s="136"/>
      <c r="C233" s="137"/>
    </row>
    <row r="234" spans="1:4" ht="20.25" thickTop="1" thickBot="1" x14ac:dyDescent="0.35">
      <c r="A234" s="608" t="s">
        <v>206</v>
      </c>
      <c r="B234" s="609"/>
      <c r="C234" s="138">
        <f>SUM(C174,C179,C228,C232)</f>
        <v>26050154.68</v>
      </c>
    </row>
    <row r="235" spans="1:4" ht="16.5" thickTop="1" thickBot="1" x14ac:dyDescent="0.3"/>
    <row r="236" spans="1:4" ht="22.5" thickTop="1" thickBot="1" x14ac:dyDescent="0.3">
      <c r="B236" s="92" t="s">
        <v>207</v>
      </c>
    </row>
    <row r="237" spans="1:4" ht="70.5" customHeight="1" thickTop="1" x14ac:dyDescent="0.25">
      <c r="A237" s="8" t="s">
        <v>2</v>
      </c>
      <c r="B237" s="9" t="s">
        <v>3</v>
      </c>
      <c r="C237" s="81" t="s">
        <v>4</v>
      </c>
    </row>
    <row r="238" spans="1:4" ht="36" customHeight="1" x14ac:dyDescent="0.25">
      <c r="A238" s="93" t="s">
        <v>5</v>
      </c>
      <c r="B238" s="29" t="s">
        <v>208</v>
      </c>
      <c r="C238" s="95">
        <v>7220000</v>
      </c>
      <c r="D238" s="119" t="s">
        <v>209</v>
      </c>
    </row>
    <row r="239" spans="1:4" x14ac:dyDescent="0.25">
      <c r="A239" s="93" t="s">
        <v>5</v>
      </c>
      <c r="B239" s="96" t="s">
        <v>166</v>
      </c>
      <c r="C239" s="95">
        <v>2517972</v>
      </c>
    </row>
    <row r="240" spans="1:4" ht="34.5" customHeight="1" x14ac:dyDescent="0.25">
      <c r="A240" s="93" t="s">
        <v>5</v>
      </c>
      <c r="B240" s="94" t="s">
        <v>167</v>
      </c>
      <c r="C240" s="95">
        <v>240000</v>
      </c>
      <c r="D240" t="s">
        <v>210</v>
      </c>
    </row>
    <row r="241" spans="1:3" x14ac:dyDescent="0.25">
      <c r="A241" s="93" t="s">
        <v>13</v>
      </c>
      <c r="B241" s="96" t="s">
        <v>211</v>
      </c>
      <c r="C241" s="95">
        <v>50000</v>
      </c>
    </row>
    <row r="242" spans="1:3" x14ac:dyDescent="0.25">
      <c r="A242" s="93" t="s">
        <v>15</v>
      </c>
      <c r="B242" s="96" t="s">
        <v>16</v>
      </c>
      <c r="C242" s="95">
        <v>24100</v>
      </c>
    </row>
    <row r="243" spans="1:3" x14ac:dyDescent="0.25">
      <c r="A243" s="93" t="s">
        <v>15</v>
      </c>
      <c r="B243" s="96" t="s">
        <v>212</v>
      </c>
      <c r="C243" s="95">
        <v>40000</v>
      </c>
    </row>
    <row r="244" spans="1:3" ht="15.75" x14ac:dyDescent="0.25">
      <c r="A244" s="606" t="s">
        <v>23</v>
      </c>
      <c r="B244" s="607"/>
      <c r="C244" s="97">
        <f>SUM(C238:C243)</f>
        <v>10092072</v>
      </c>
    </row>
    <row r="245" spans="1:3" x14ac:dyDescent="0.25">
      <c r="A245" s="93" t="s">
        <v>24</v>
      </c>
      <c r="B245" s="96" t="s">
        <v>151</v>
      </c>
      <c r="C245" s="95">
        <f>SUM(C238:C240)*0.22</f>
        <v>2195153.84</v>
      </c>
    </row>
    <row r="246" spans="1:3" x14ac:dyDescent="0.25">
      <c r="A246" s="93"/>
      <c r="B246" s="96" t="s">
        <v>29</v>
      </c>
      <c r="C246" s="95">
        <v>6300</v>
      </c>
    </row>
    <row r="247" spans="1:3" x14ac:dyDescent="0.25">
      <c r="A247" s="93"/>
      <c r="B247" s="96" t="s">
        <v>30</v>
      </c>
      <c r="C247" s="95">
        <v>4300</v>
      </c>
    </row>
    <row r="248" spans="1:3" ht="15.75" x14ac:dyDescent="0.25">
      <c r="A248" s="606" t="s">
        <v>32</v>
      </c>
      <c r="B248" s="607"/>
      <c r="C248" s="97">
        <f>SUM(C245:C247)</f>
        <v>2205753.84</v>
      </c>
    </row>
    <row r="249" spans="1:3" x14ac:dyDescent="0.25">
      <c r="A249" s="93" t="s">
        <v>33</v>
      </c>
      <c r="B249" s="96" t="s">
        <v>44</v>
      </c>
      <c r="C249" s="95">
        <v>110000</v>
      </c>
    </row>
    <row r="250" spans="1:3" x14ac:dyDescent="0.25">
      <c r="A250" s="98" t="s">
        <v>127</v>
      </c>
      <c r="B250" s="99" t="s">
        <v>175</v>
      </c>
      <c r="C250" s="100">
        <v>30000</v>
      </c>
    </row>
    <row r="251" spans="1:3" x14ac:dyDescent="0.25">
      <c r="A251" s="93" t="s">
        <v>45</v>
      </c>
      <c r="B251" s="94" t="s">
        <v>46</v>
      </c>
      <c r="C251" s="95">
        <v>300000</v>
      </c>
    </row>
    <row r="252" spans="1:3" x14ac:dyDescent="0.25">
      <c r="A252" s="93" t="s">
        <v>45</v>
      </c>
      <c r="B252" s="94" t="s">
        <v>47</v>
      </c>
      <c r="C252" s="95">
        <v>35000</v>
      </c>
    </row>
    <row r="253" spans="1:3" ht="30" x14ac:dyDescent="0.25">
      <c r="A253" s="93" t="s">
        <v>50</v>
      </c>
      <c r="B253" s="101" t="s">
        <v>213</v>
      </c>
      <c r="C253" s="102">
        <v>80000</v>
      </c>
    </row>
    <row r="254" spans="1:3" x14ac:dyDescent="0.25">
      <c r="A254" s="93" t="s">
        <v>52</v>
      </c>
      <c r="B254" s="94" t="s">
        <v>179</v>
      </c>
      <c r="C254" s="103">
        <v>65000</v>
      </c>
    </row>
    <row r="255" spans="1:3" x14ac:dyDescent="0.25">
      <c r="A255" s="93" t="s">
        <v>52</v>
      </c>
      <c r="B255" s="94" t="s">
        <v>55</v>
      </c>
      <c r="C255" s="103">
        <v>80000</v>
      </c>
    </row>
    <row r="256" spans="1:3" x14ac:dyDescent="0.25">
      <c r="A256" s="93" t="s">
        <v>52</v>
      </c>
      <c r="B256" s="94" t="s">
        <v>214</v>
      </c>
      <c r="C256" s="103">
        <v>50000</v>
      </c>
    </row>
    <row r="257" spans="1:3" x14ac:dyDescent="0.25">
      <c r="A257" s="104" t="s">
        <v>38</v>
      </c>
      <c r="B257" s="56" t="s">
        <v>57</v>
      </c>
      <c r="C257" s="105">
        <f>SUM(C249,C251:C256)*0.27</f>
        <v>194400</v>
      </c>
    </row>
    <row r="258" spans="1:3" x14ac:dyDescent="0.25">
      <c r="A258" s="98" t="s">
        <v>38</v>
      </c>
      <c r="B258" s="106" t="s">
        <v>106</v>
      </c>
      <c r="C258" s="107">
        <f>SUM(C250)*0.05</f>
        <v>1500</v>
      </c>
    </row>
    <row r="259" spans="1:3" x14ac:dyDescent="0.25">
      <c r="A259" s="604" t="s">
        <v>58</v>
      </c>
      <c r="B259" s="605"/>
      <c r="C259" s="108">
        <f>SUM(C249:C256)</f>
        <v>750000</v>
      </c>
    </row>
    <row r="260" spans="1:3" x14ac:dyDescent="0.25">
      <c r="A260" s="110" t="s">
        <v>61</v>
      </c>
      <c r="B260" s="111" t="s">
        <v>215</v>
      </c>
      <c r="C260" s="112">
        <v>90000</v>
      </c>
    </row>
    <row r="261" spans="1:3" x14ac:dyDescent="0.25">
      <c r="A261" s="93" t="s">
        <v>63</v>
      </c>
      <c r="B261" s="96" t="s">
        <v>216</v>
      </c>
      <c r="C261" s="109">
        <f>94800+2080</f>
        <v>96880</v>
      </c>
    </row>
    <row r="262" spans="1:3" x14ac:dyDescent="0.25">
      <c r="A262" s="104" t="s">
        <v>38</v>
      </c>
      <c r="B262" s="56" t="s">
        <v>57</v>
      </c>
      <c r="C262" s="113">
        <f>SUM(C260:C261)*0.27</f>
        <v>50457.600000000006</v>
      </c>
    </row>
    <row r="263" spans="1:3" x14ac:dyDescent="0.25">
      <c r="A263" s="604" t="s">
        <v>66</v>
      </c>
      <c r="B263" s="605"/>
      <c r="C263" s="114">
        <f>SUM(C260:C261)</f>
        <v>186880</v>
      </c>
    </row>
    <row r="264" spans="1:3" x14ac:dyDescent="0.25">
      <c r="A264" s="93" t="s">
        <v>69</v>
      </c>
      <c r="B264" s="96" t="s">
        <v>68</v>
      </c>
      <c r="C264" s="109">
        <v>400000</v>
      </c>
    </row>
    <row r="265" spans="1:3" x14ac:dyDescent="0.25">
      <c r="A265" s="93" t="s">
        <v>67</v>
      </c>
      <c r="B265" s="96" t="s">
        <v>70</v>
      </c>
      <c r="C265" s="109">
        <v>225000</v>
      </c>
    </row>
    <row r="266" spans="1:3" x14ac:dyDescent="0.25">
      <c r="A266" s="93" t="s">
        <v>71</v>
      </c>
      <c r="B266" s="96" t="s">
        <v>72</v>
      </c>
      <c r="C266" s="109">
        <v>165000</v>
      </c>
    </row>
    <row r="267" spans="1:3" x14ac:dyDescent="0.25">
      <c r="A267" s="104" t="s">
        <v>38</v>
      </c>
      <c r="B267" s="56" t="s">
        <v>57</v>
      </c>
      <c r="C267" s="113">
        <f>SUM(C264:C266)*0.27</f>
        <v>213300</v>
      </c>
    </row>
    <row r="268" spans="1:3" x14ac:dyDescent="0.25">
      <c r="A268" s="604" t="s">
        <v>73</v>
      </c>
      <c r="B268" s="605"/>
      <c r="C268" s="114">
        <f>SUM(C264:C266)</f>
        <v>790000</v>
      </c>
    </row>
    <row r="269" spans="1:3" x14ac:dyDescent="0.25">
      <c r="A269" s="93" t="s">
        <v>79</v>
      </c>
      <c r="B269" s="96" t="s">
        <v>184</v>
      </c>
      <c r="C269" s="109">
        <v>50000</v>
      </c>
    </row>
    <row r="270" spans="1:3" x14ac:dyDescent="0.25">
      <c r="A270" s="104" t="s">
        <v>38</v>
      </c>
      <c r="B270" s="56" t="s">
        <v>57</v>
      </c>
      <c r="C270" s="115">
        <f>SUM(C269)*0.27</f>
        <v>13500</v>
      </c>
    </row>
    <row r="271" spans="1:3" x14ac:dyDescent="0.25">
      <c r="A271" s="604" t="s">
        <v>82</v>
      </c>
      <c r="B271" s="605"/>
      <c r="C271" s="108">
        <f>SUM(C269)</f>
        <v>50000</v>
      </c>
    </row>
    <row r="272" spans="1:3" x14ac:dyDescent="0.25">
      <c r="A272" s="120" t="s">
        <v>83</v>
      </c>
      <c r="B272" s="121" t="s">
        <v>217</v>
      </c>
      <c r="C272" s="122">
        <v>19800</v>
      </c>
    </row>
    <row r="273" spans="1:3" x14ac:dyDescent="0.25">
      <c r="A273" s="604" t="s">
        <v>85</v>
      </c>
      <c r="B273" s="605"/>
      <c r="C273" s="108">
        <f>SUM(C272:C272)</f>
        <v>19800</v>
      </c>
    </row>
    <row r="274" spans="1:3" x14ac:dyDescent="0.25">
      <c r="A274" s="120" t="s">
        <v>89</v>
      </c>
      <c r="B274" s="121" t="s">
        <v>90</v>
      </c>
      <c r="C274" s="122">
        <v>30000</v>
      </c>
    </row>
    <row r="275" spans="1:3" x14ac:dyDescent="0.25">
      <c r="A275" s="93" t="s">
        <v>91</v>
      </c>
      <c r="B275" s="96" t="s">
        <v>192</v>
      </c>
      <c r="C275" s="95">
        <v>10000</v>
      </c>
    </row>
    <row r="276" spans="1:3" x14ac:dyDescent="0.25">
      <c r="A276" s="93" t="s">
        <v>91</v>
      </c>
      <c r="B276" s="96" t="s">
        <v>193</v>
      </c>
      <c r="C276" s="95">
        <v>20000</v>
      </c>
    </row>
    <row r="277" spans="1:3" x14ac:dyDescent="0.25">
      <c r="A277" s="120" t="s">
        <v>93</v>
      </c>
      <c r="B277" s="121" t="s">
        <v>94</v>
      </c>
      <c r="C277" s="122">
        <v>20000</v>
      </c>
    </row>
    <row r="278" spans="1:3" x14ac:dyDescent="0.25">
      <c r="A278" s="93" t="s">
        <v>95</v>
      </c>
      <c r="B278" s="96" t="s">
        <v>218</v>
      </c>
      <c r="C278" s="95">
        <v>15000</v>
      </c>
    </row>
    <row r="279" spans="1:3" x14ac:dyDescent="0.25">
      <c r="A279" s="93" t="s">
        <v>95</v>
      </c>
      <c r="B279" s="96" t="s">
        <v>87</v>
      </c>
      <c r="C279" s="95">
        <v>30000</v>
      </c>
    </row>
    <row r="280" spans="1:3" x14ac:dyDescent="0.25">
      <c r="A280" s="93" t="s">
        <v>95</v>
      </c>
      <c r="B280" s="96" t="s">
        <v>101</v>
      </c>
      <c r="C280" s="95">
        <v>20000</v>
      </c>
    </row>
    <row r="281" spans="1:3" x14ac:dyDescent="0.25">
      <c r="A281" s="104" t="s">
        <v>38</v>
      </c>
      <c r="B281" s="56" t="s">
        <v>57</v>
      </c>
      <c r="C281" s="115">
        <f>SUM(C275:C276,C278:C280)*0.27</f>
        <v>25650</v>
      </c>
    </row>
    <row r="282" spans="1:3" x14ac:dyDescent="0.25">
      <c r="A282" s="604" t="s">
        <v>102</v>
      </c>
      <c r="B282" s="605"/>
      <c r="C282" s="108">
        <f>SUM(C274:C280)</f>
        <v>145000</v>
      </c>
    </row>
    <row r="283" spans="1:3" x14ac:dyDescent="0.25">
      <c r="A283" s="120" t="s">
        <v>103</v>
      </c>
      <c r="B283" s="53" t="s">
        <v>219</v>
      </c>
      <c r="C283" s="122">
        <v>210000</v>
      </c>
    </row>
    <row r="284" spans="1:3" x14ac:dyDescent="0.25">
      <c r="A284" s="104" t="s">
        <v>38</v>
      </c>
      <c r="B284" s="126" t="s">
        <v>199</v>
      </c>
      <c r="C284" s="115">
        <f>SUM(C257,C262,C267,C270,C281)</f>
        <v>497307.6</v>
      </c>
    </row>
    <row r="285" spans="1:3" x14ac:dyDescent="0.25">
      <c r="A285" s="127" t="s">
        <v>38</v>
      </c>
      <c r="B285" s="128" t="s">
        <v>106</v>
      </c>
      <c r="C285" s="129">
        <f>C258</f>
        <v>1500</v>
      </c>
    </row>
    <row r="286" spans="1:3" ht="30" x14ac:dyDescent="0.25">
      <c r="A286" s="120" t="s">
        <v>107</v>
      </c>
      <c r="B286" s="53" t="s">
        <v>200</v>
      </c>
      <c r="C286" s="122">
        <v>160000</v>
      </c>
    </row>
    <row r="287" spans="1:3" x14ac:dyDescent="0.25">
      <c r="A287" s="604" t="s">
        <v>109</v>
      </c>
      <c r="B287" s="605"/>
      <c r="C287" s="108">
        <f>SUM(C283:C286)</f>
        <v>868807.6</v>
      </c>
    </row>
    <row r="288" spans="1:3" ht="15.75" x14ac:dyDescent="0.25">
      <c r="A288" s="606" t="s">
        <v>110</v>
      </c>
      <c r="B288" s="607"/>
      <c r="C288" s="97">
        <f>SUM(C259,C263,C268,C271,C273,C282,C287)</f>
        <v>2810487.6</v>
      </c>
    </row>
    <row r="289" spans="1:6" ht="15.75" x14ac:dyDescent="0.25">
      <c r="A289" s="110" t="s">
        <v>203</v>
      </c>
      <c r="B289" s="111" t="s">
        <v>204</v>
      </c>
      <c r="C289" s="132">
        <v>0</v>
      </c>
    </row>
    <row r="290" spans="1:6" x14ac:dyDescent="0.25">
      <c r="A290" s="93" t="s">
        <v>111</v>
      </c>
      <c r="B290" s="13" t="s">
        <v>205</v>
      </c>
      <c r="C290" s="95">
        <v>60000</v>
      </c>
    </row>
    <row r="291" spans="1:6" x14ac:dyDescent="0.25">
      <c r="A291" s="104" t="s">
        <v>113</v>
      </c>
      <c r="B291" s="56" t="s">
        <v>114</v>
      </c>
      <c r="C291" s="115">
        <f>C290*0.27</f>
        <v>16200.000000000002</v>
      </c>
    </row>
    <row r="292" spans="1:6" ht="15.75" thickBot="1" x14ac:dyDescent="0.3">
      <c r="A292" s="93"/>
      <c r="B292" s="133" t="s">
        <v>115</v>
      </c>
      <c r="C292" s="134">
        <f>SUM(C290:C291)</f>
        <v>76200</v>
      </c>
    </row>
    <row r="293" spans="1:6" ht="20.25" thickTop="1" thickBot="1" x14ac:dyDescent="0.35">
      <c r="A293" s="608" t="s">
        <v>220</v>
      </c>
      <c r="B293" s="609"/>
      <c r="C293" s="138">
        <f>SUM(C244,C248,C288,C292)</f>
        <v>15184513.439999999</v>
      </c>
    </row>
    <row r="294" spans="1:6" ht="15.75" thickTop="1" x14ac:dyDescent="0.25"/>
    <row r="295" spans="1:6" ht="15.75" thickBot="1" x14ac:dyDescent="0.3"/>
    <row r="296" spans="1:6" ht="20.25" thickTop="1" thickBot="1" x14ac:dyDescent="0.3">
      <c r="B296" s="65" t="s">
        <v>221</v>
      </c>
      <c r="C296" s="23"/>
      <c r="E296" s="66"/>
    </row>
    <row r="297" spans="1:6" ht="15.75" thickTop="1" x14ac:dyDescent="0.25">
      <c r="A297" s="8" t="s">
        <v>2</v>
      </c>
      <c r="B297" s="9" t="s">
        <v>3</v>
      </c>
      <c r="C297" s="139" t="s">
        <v>4</v>
      </c>
      <c r="D297" s="11"/>
      <c r="E297" s="67"/>
      <c r="F297" s="11"/>
    </row>
    <row r="298" spans="1:6" ht="59.25" customHeight="1" x14ac:dyDescent="0.25">
      <c r="A298" s="82" t="s">
        <v>5</v>
      </c>
      <c r="B298" s="13" t="s">
        <v>222</v>
      </c>
      <c r="C298" s="14">
        <v>8051472</v>
      </c>
      <c r="E298" s="66"/>
    </row>
    <row r="299" spans="1:6" ht="59.25" customHeight="1" x14ac:dyDescent="0.25">
      <c r="A299" s="82" t="s">
        <v>5</v>
      </c>
      <c r="B299" s="13" t="s">
        <v>223</v>
      </c>
      <c r="C299" s="14">
        <v>151200</v>
      </c>
      <c r="E299" s="66"/>
    </row>
    <row r="300" spans="1:6" x14ac:dyDescent="0.25">
      <c r="A300" s="82" t="s">
        <v>5</v>
      </c>
      <c r="B300" s="13" t="s">
        <v>224</v>
      </c>
      <c r="C300" s="14">
        <v>120000</v>
      </c>
      <c r="E300" s="66"/>
    </row>
    <row r="301" spans="1:6" ht="60.75" customHeight="1" x14ac:dyDescent="0.25">
      <c r="A301" s="82" t="s">
        <v>5</v>
      </c>
      <c r="B301" s="13" t="s">
        <v>148</v>
      </c>
      <c r="C301" s="14">
        <v>145668</v>
      </c>
    </row>
    <row r="302" spans="1:6" x14ac:dyDescent="0.25">
      <c r="A302" s="82" t="s">
        <v>15</v>
      </c>
      <c r="B302" s="13" t="s">
        <v>150</v>
      </c>
      <c r="C302" s="14">
        <v>36000</v>
      </c>
    </row>
    <row r="303" spans="1:6" ht="15" customHeight="1" x14ac:dyDescent="0.25">
      <c r="A303" s="602" t="s">
        <v>23</v>
      </c>
      <c r="B303" s="603"/>
      <c r="C303" s="20">
        <f>SUM(C298:C302)</f>
        <v>8504340</v>
      </c>
      <c r="D303" s="22"/>
      <c r="E303" s="22"/>
      <c r="F303" s="22"/>
    </row>
    <row r="304" spans="1:6" x14ac:dyDescent="0.25">
      <c r="A304" s="82"/>
      <c r="B304" s="13" t="s">
        <v>151</v>
      </c>
      <c r="C304" s="14">
        <f>SUM(C298:C302)*0.22</f>
        <v>1870954.8</v>
      </c>
    </row>
    <row r="305" spans="1:6" ht="15" customHeight="1" x14ac:dyDescent="0.25">
      <c r="A305" s="602" t="s">
        <v>32</v>
      </c>
      <c r="B305" s="603"/>
      <c r="C305" s="20">
        <f>SUM(C304:C304)</f>
        <v>1870954.8</v>
      </c>
      <c r="D305" s="22"/>
      <c r="E305" s="22"/>
      <c r="F305" s="22"/>
    </row>
    <row r="306" spans="1:6" x14ac:dyDescent="0.25">
      <c r="A306" s="82" t="s">
        <v>127</v>
      </c>
      <c r="B306" s="13" t="s">
        <v>152</v>
      </c>
      <c r="C306" s="14">
        <v>0</v>
      </c>
      <c r="D306" s="22" t="s">
        <v>225</v>
      </c>
      <c r="E306" s="22"/>
      <c r="F306" s="22"/>
    </row>
    <row r="307" spans="1:6" x14ac:dyDescent="0.25">
      <c r="A307" s="82" t="s">
        <v>33</v>
      </c>
      <c r="B307" s="13" t="s">
        <v>34</v>
      </c>
      <c r="C307" s="14">
        <v>15000</v>
      </c>
    </row>
    <row r="308" spans="1:6" x14ac:dyDescent="0.25">
      <c r="A308" s="82" t="s">
        <v>43</v>
      </c>
      <c r="B308" s="13" t="s">
        <v>44</v>
      </c>
      <c r="C308" s="14">
        <v>5000</v>
      </c>
    </row>
    <row r="309" spans="1:6" x14ac:dyDescent="0.25">
      <c r="A309" s="82" t="s">
        <v>45</v>
      </c>
      <c r="B309" s="13" t="s">
        <v>226</v>
      </c>
      <c r="C309" s="14">
        <v>40000</v>
      </c>
    </row>
    <row r="310" spans="1:6" x14ac:dyDescent="0.25">
      <c r="A310" s="82" t="s">
        <v>50</v>
      </c>
      <c r="B310" s="13" t="s">
        <v>153</v>
      </c>
      <c r="C310" s="14">
        <v>30000</v>
      </c>
    </row>
    <row r="311" spans="1:6" x14ac:dyDescent="0.25">
      <c r="A311" s="82" t="s">
        <v>52</v>
      </c>
      <c r="B311" s="13" t="s">
        <v>227</v>
      </c>
      <c r="C311" s="14">
        <v>50000</v>
      </c>
    </row>
    <row r="312" spans="1:6" x14ac:dyDescent="0.25">
      <c r="A312" s="82" t="s">
        <v>52</v>
      </c>
      <c r="B312" s="13" t="s">
        <v>228</v>
      </c>
      <c r="C312" s="14">
        <v>30000</v>
      </c>
    </row>
    <row r="313" spans="1:6" x14ac:dyDescent="0.25">
      <c r="A313" s="594" t="s">
        <v>58</v>
      </c>
      <c r="B313" s="595"/>
      <c r="C313" s="33">
        <f>SUM(C306:C312)</f>
        <v>170000</v>
      </c>
      <c r="D313" s="35"/>
      <c r="E313" s="35"/>
      <c r="F313" s="35"/>
    </row>
    <row r="314" spans="1:6" x14ac:dyDescent="0.25">
      <c r="A314" s="83" t="s">
        <v>38</v>
      </c>
      <c r="B314" s="56" t="s">
        <v>57</v>
      </c>
      <c r="C314" s="57">
        <f>SUM(C306:C312)*0.27</f>
        <v>45900</v>
      </c>
      <c r="D314" s="35"/>
      <c r="E314" s="35"/>
      <c r="F314" s="35"/>
    </row>
    <row r="315" spans="1:6" ht="30" x14ac:dyDescent="0.25">
      <c r="A315" s="39" t="s">
        <v>74</v>
      </c>
      <c r="B315" s="13" t="s">
        <v>229</v>
      </c>
      <c r="C315" s="84">
        <f>993816+191952+747228</f>
        <v>1932996</v>
      </c>
      <c r="D315" s="35"/>
      <c r="E315" s="35"/>
      <c r="F315" s="35"/>
    </row>
    <row r="316" spans="1:6" x14ac:dyDescent="0.25">
      <c r="A316" s="85" t="s">
        <v>38</v>
      </c>
      <c r="B316" s="86" t="s">
        <v>77</v>
      </c>
      <c r="C316" s="87">
        <f>SUM(C315)*0.27</f>
        <v>521908.92000000004</v>
      </c>
      <c r="D316" s="35"/>
      <c r="E316" s="35"/>
      <c r="F316" s="35"/>
    </row>
    <row r="317" spans="1:6" x14ac:dyDescent="0.25">
      <c r="A317" s="88"/>
      <c r="B317" s="44" t="s">
        <v>158</v>
      </c>
      <c r="C317" s="33">
        <f>SUM(C315)</f>
        <v>1932996</v>
      </c>
      <c r="D317" s="35"/>
      <c r="E317" s="35"/>
      <c r="F317" s="35"/>
    </row>
    <row r="318" spans="1:6" ht="30" x14ac:dyDescent="0.25">
      <c r="A318" s="89" t="s">
        <v>83</v>
      </c>
      <c r="B318" s="53" t="s">
        <v>264</v>
      </c>
      <c r="C318" s="47">
        <f>9900+72000</f>
        <v>81900</v>
      </c>
    </row>
    <row r="319" spans="1:6" x14ac:dyDescent="0.25">
      <c r="A319" s="594" t="s">
        <v>85</v>
      </c>
      <c r="B319" s="595"/>
      <c r="C319" s="33">
        <f>SUM(C318:C318)</f>
        <v>81900</v>
      </c>
      <c r="D319" s="35"/>
      <c r="E319" s="35"/>
      <c r="F319" s="35"/>
    </row>
    <row r="320" spans="1:6" x14ac:dyDescent="0.25">
      <c r="A320" s="83" t="s">
        <v>38</v>
      </c>
      <c r="B320" s="56" t="s">
        <v>160</v>
      </c>
      <c r="C320" s="57">
        <f>SUM(C316,C314)</f>
        <v>567808.92000000004</v>
      </c>
      <c r="E320" s="18"/>
    </row>
    <row r="321" spans="1:6" x14ac:dyDescent="0.25">
      <c r="A321" s="610" t="s">
        <v>110</v>
      </c>
      <c r="B321" s="611"/>
      <c r="C321" s="20">
        <f>SUM(C313,C317,C319,C320)</f>
        <v>2752704.92</v>
      </c>
      <c r="D321" s="22"/>
      <c r="E321" s="22"/>
      <c r="F321" s="22"/>
    </row>
    <row r="322" spans="1:6" x14ac:dyDescent="0.25">
      <c r="A322" s="13" t="s">
        <v>111</v>
      </c>
      <c r="B322" s="13" t="s">
        <v>230</v>
      </c>
      <c r="C322" s="14">
        <v>0</v>
      </c>
      <c r="D322" s="22" t="s">
        <v>225</v>
      </c>
      <c r="E322" s="22"/>
      <c r="F322" s="22"/>
    </row>
    <row r="323" spans="1:6" x14ac:dyDescent="0.25">
      <c r="A323" s="140" t="s">
        <v>113</v>
      </c>
      <c r="B323" s="140" t="s">
        <v>231</v>
      </c>
      <c r="C323" s="141">
        <f>C322*0.27</f>
        <v>0</v>
      </c>
      <c r="D323" s="22"/>
      <c r="E323" s="22"/>
      <c r="F323" s="22"/>
    </row>
    <row r="324" spans="1:6" x14ac:dyDescent="0.25">
      <c r="A324" s="93"/>
      <c r="B324" s="133" t="s">
        <v>115</v>
      </c>
      <c r="C324" s="142">
        <f>SUM(C322:C323)</f>
        <v>0</v>
      </c>
      <c r="D324" s="22"/>
      <c r="E324" s="22"/>
      <c r="F324" s="22"/>
    </row>
    <row r="325" spans="1:6" ht="30" x14ac:dyDescent="0.25">
      <c r="A325" s="12" t="s">
        <v>116</v>
      </c>
      <c r="B325" s="13" t="s">
        <v>232</v>
      </c>
      <c r="C325" s="14">
        <v>0</v>
      </c>
      <c r="D325" s="18"/>
      <c r="E325" s="18"/>
    </row>
    <row r="326" spans="1:6" x14ac:dyDescent="0.25">
      <c r="A326" s="143" t="s">
        <v>118</v>
      </c>
      <c r="B326" s="140" t="s">
        <v>119</v>
      </c>
      <c r="C326" s="144">
        <f>C325*0.27</f>
        <v>0</v>
      </c>
      <c r="D326" s="18"/>
      <c r="E326" s="18"/>
    </row>
    <row r="327" spans="1:6" ht="15.75" thickBot="1" x14ac:dyDescent="0.3">
      <c r="A327" s="93"/>
      <c r="B327" s="133" t="s">
        <v>233</v>
      </c>
      <c r="C327" s="145">
        <f>SUM(C325:C326)</f>
        <v>0</v>
      </c>
    </row>
    <row r="328" spans="1:6" ht="20.25" thickTop="1" thickBot="1" x14ac:dyDescent="0.35">
      <c r="A328" s="608" t="s">
        <v>234</v>
      </c>
      <c r="B328" s="609"/>
      <c r="C328" s="138">
        <f>SUM(C303,C305,C321,C324,C327)</f>
        <v>13127999.720000001</v>
      </c>
    </row>
    <row r="329" spans="1:6" ht="15.75" thickTop="1" x14ac:dyDescent="0.25"/>
    <row r="330" spans="1:6" ht="15.75" thickBot="1" x14ac:dyDescent="0.3"/>
    <row r="331" spans="1:6" ht="20.25" thickTop="1" thickBot="1" x14ac:dyDescent="0.35">
      <c r="A331" s="592" t="s">
        <v>235</v>
      </c>
      <c r="B331" s="593" t="s">
        <v>235</v>
      </c>
      <c r="C331" s="146">
        <f>SUM(C328,C293,C234,C159,C122,C89)</f>
        <v>225847577.43000001</v>
      </c>
      <c r="D331" t="s">
        <v>236</v>
      </c>
    </row>
    <row r="332" spans="1:6" ht="15.75" thickTop="1" x14ac:dyDescent="0.25"/>
    <row r="333" spans="1:6" ht="15.75" thickBot="1" x14ac:dyDescent="0.3"/>
    <row r="334" spans="1:6" ht="20.25" thickTop="1" thickBot="1" x14ac:dyDescent="0.3">
      <c r="B334" s="65" t="s">
        <v>237</v>
      </c>
      <c r="C334" s="23"/>
    </row>
    <row r="335" spans="1:6" ht="15.75" thickTop="1" x14ac:dyDescent="0.25">
      <c r="A335" s="8" t="s">
        <v>2</v>
      </c>
      <c r="B335" s="9" t="s">
        <v>3</v>
      </c>
      <c r="C335" s="81" t="s">
        <v>4</v>
      </c>
    </row>
    <row r="336" spans="1:6" x14ac:dyDescent="0.25">
      <c r="A336" s="82" t="s">
        <v>5</v>
      </c>
      <c r="B336" s="13" t="s">
        <v>146</v>
      </c>
      <c r="C336" s="14">
        <v>10349316</v>
      </c>
    </row>
    <row r="337" spans="1:3" x14ac:dyDescent="0.25">
      <c r="A337" s="82" t="s">
        <v>5</v>
      </c>
      <c r="B337" s="13" t="s">
        <v>147</v>
      </c>
      <c r="C337" s="14">
        <v>425088</v>
      </c>
    </row>
    <row r="338" spans="1:3" ht="45" x14ac:dyDescent="0.25">
      <c r="A338" s="82" t="s">
        <v>5</v>
      </c>
      <c r="B338" s="13" t="s">
        <v>148</v>
      </c>
      <c r="C338" s="14">
        <v>145668</v>
      </c>
    </row>
    <row r="339" spans="1:3" x14ac:dyDescent="0.25">
      <c r="A339" s="82" t="s">
        <v>13</v>
      </c>
      <c r="B339" s="13" t="s">
        <v>149</v>
      </c>
      <c r="C339" s="14">
        <v>150000</v>
      </c>
    </row>
    <row r="340" spans="1:3" x14ac:dyDescent="0.25">
      <c r="A340" s="82" t="s">
        <v>15</v>
      </c>
      <c r="B340" s="13" t="s">
        <v>16</v>
      </c>
      <c r="C340" s="14">
        <v>1000</v>
      </c>
    </row>
    <row r="341" spans="1:3" x14ac:dyDescent="0.25">
      <c r="A341" s="82" t="s">
        <v>15</v>
      </c>
      <c r="B341" s="13" t="s">
        <v>150</v>
      </c>
      <c r="C341" s="14">
        <v>36000</v>
      </c>
    </row>
    <row r="342" spans="1:3" x14ac:dyDescent="0.25">
      <c r="A342" s="602" t="s">
        <v>23</v>
      </c>
      <c r="B342" s="603"/>
      <c r="C342" s="20">
        <f>SUM(C336:C341)</f>
        <v>11107072</v>
      </c>
    </row>
    <row r="343" spans="1:3" x14ac:dyDescent="0.25">
      <c r="A343" s="82"/>
      <c r="B343" s="13" t="s">
        <v>151</v>
      </c>
      <c r="C343" s="14">
        <f>SUM(C336:C338,C341)*0.22</f>
        <v>2410335.84</v>
      </c>
    </row>
    <row r="344" spans="1:3" x14ac:dyDescent="0.25">
      <c r="A344" s="82"/>
      <c r="B344" s="13" t="s">
        <v>29</v>
      </c>
      <c r="C344" s="14">
        <v>314</v>
      </c>
    </row>
    <row r="345" spans="1:3" x14ac:dyDescent="0.25">
      <c r="A345" s="82"/>
      <c r="B345" s="13" t="s">
        <v>30</v>
      </c>
      <c r="C345" s="14">
        <v>215</v>
      </c>
    </row>
    <row r="346" spans="1:3" x14ac:dyDescent="0.25">
      <c r="A346" s="602" t="s">
        <v>32</v>
      </c>
      <c r="B346" s="603"/>
      <c r="C346" s="20">
        <f>SUM(C343:C345)</f>
        <v>2410864.84</v>
      </c>
    </row>
    <row r="347" spans="1:3" x14ac:dyDescent="0.25">
      <c r="A347" s="82" t="s">
        <v>127</v>
      </c>
      <c r="B347" s="13" t="s">
        <v>152</v>
      </c>
      <c r="C347" s="14">
        <v>50000</v>
      </c>
    </row>
    <row r="348" spans="1:3" x14ac:dyDescent="0.25">
      <c r="A348" s="82" t="s">
        <v>33</v>
      </c>
      <c r="B348" s="13" t="s">
        <v>34</v>
      </c>
      <c r="C348" s="14">
        <v>15000</v>
      </c>
    </row>
    <row r="349" spans="1:3" x14ac:dyDescent="0.25">
      <c r="A349" s="82" t="s">
        <v>43</v>
      </c>
      <c r="B349" s="13" t="s">
        <v>44</v>
      </c>
      <c r="C349" s="14">
        <v>15000</v>
      </c>
    </row>
    <row r="350" spans="1:3" x14ac:dyDescent="0.25">
      <c r="A350" s="82" t="s">
        <v>50</v>
      </c>
      <c r="B350" s="13" t="s">
        <v>153</v>
      </c>
      <c r="C350" s="14">
        <v>30000</v>
      </c>
    </row>
    <row r="351" spans="1:3" x14ac:dyDescent="0.25">
      <c r="A351" s="82" t="s">
        <v>52</v>
      </c>
      <c r="B351" s="13" t="s">
        <v>154</v>
      </c>
      <c r="C351" s="14">
        <v>60000</v>
      </c>
    </row>
    <row r="352" spans="1:3" ht="30" x14ac:dyDescent="0.25">
      <c r="A352" s="82" t="s">
        <v>52</v>
      </c>
      <c r="B352" s="13" t="s">
        <v>155</v>
      </c>
      <c r="C352" s="14">
        <v>21260</v>
      </c>
    </row>
    <row r="353" spans="1:3" x14ac:dyDescent="0.25">
      <c r="A353" s="594" t="s">
        <v>58</v>
      </c>
      <c r="B353" s="595"/>
      <c r="C353" s="33">
        <f>SUM(C347:C352)</f>
        <v>191260</v>
      </c>
    </row>
    <row r="354" spans="1:3" x14ac:dyDescent="0.25">
      <c r="A354" s="83" t="s">
        <v>38</v>
      </c>
      <c r="B354" s="56" t="s">
        <v>57</v>
      </c>
      <c r="C354" s="57">
        <f>SUM(C347:C352)*0.27</f>
        <v>51640.200000000004</v>
      </c>
    </row>
    <row r="355" spans="1:3" x14ac:dyDescent="0.25">
      <c r="A355" s="82" t="s">
        <v>63</v>
      </c>
      <c r="B355" s="13" t="s">
        <v>156</v>
      </c>
      <c r="C355" s="14">
        <v>6000</v>
      </c>
    </row>
    <row r="356" spans="1:3" x14ac:dyDescent="0.25">
      <c r="A356" s="594" t="s">
        <v>66</v>
      </c>
      <c r="B356" s="595"/>
      <c r="C356" s="33">
        <f>SUM(C355:C355)</f>
        <v>6000</v>
      </c>
    </row>
    <row r="357" spans="1:3" x14ac:dyDescent="0.25">
      <c r="A357" s="39" t="s">
        <v>74</v>
      </c>
      <c r="B357" s="13" t="s">
        <v>238</v>
      </c>
      <c r="C357" s="84">
        <f>1060905+211520+800445</f>
        <v>2072870</v>
      </c>
    </row>
    <row r="358" spans="1:3" x14ac:dyDescent="0.25">
      <c r="A358" s="85" t="s">
        <v>38</v>
      </c>
      <c r="B358" s="86" t="s">
        <v>77</v>
      </c>
      <c r="C358" s="87">
        <f>SUM(C357)*0.27</f>
        <v>559674.9</v>
      </c>
    </row>
    <row r="359" spans="1:3" x14ac:dyDescent="0.25">
      <c r="A359" s="88"/>
      <c r="B359" s="44" t="s">
        <v>158</v>
      </c>
      <c r="C359" s="33">
        <f>SUM(C357:C358)</f>
        <v>2632544.9</v>
      </c>
    </row>
    <row r="360" spans="1:3" x14ac:dyDescent="0.25">
      <c r="A360" s="89" t="s">
        <v>83</v>
      </c>
      <c r="B360" s="53" t="s">
        <v>159</v>
      </c>
      <c r="C360" s="47">
        <v>9900</v>
      </c>
    </row>
    <row r="361" spans="1:3" x14ac:dyDescent="0.25">
      <c r="A361" s="89" t="s">
        <v>93</v>
      </c>
      <c r="B361" s="53" t="s">
        <v>94</v>
      </c>
      <c r="C361" s="47">
        <v>50000</v>
      </c>
    </row>
    <row r="362" spans="1:3" x14ac:dyDescent="0.25">
      <c r="A362" s="594" t="s">
        <v>85</v>
      </c>
      <c r="B362" s="595"/>
      <c r="C362" s="33">
        <f>SUM(C360:C361)</f>
        <v>59900</v>
      </c>
    </row>
    <row r="363" spans="1:3" x14ac:dyDescent="0.25">
      <c r="A363" s="83" t="s">
        <v>38</v>
      </c>
      <c r="B363" s="56" t="s">
        <v>160</v>
      </c>
      <c r="C363" s="57">
        <f>SUM(C354)</f>
        <v>51640.200000000004</v>
      </c>
    </row>
    <row r="364" spans="1:3" x14ac:dyDescent="0.25">
      <c r="A364" s="596" t="s">
        <v>110</v>
      </c>
      <c r="B364" s="597"/>
      <c r="C364" s="20">
        <f>SUM(C362,C359,C356,C353,C363)</f>
        <v>2941345.1</v>
      </c>
    </row>
    <row r="365" spans="1:3" ht="30" x14ac:dyDescent="0.25">
      <c r="A365" s="12" t="s">
        <v>111</v>
      </c>
      <c r="B365" s="13" t="s">
        <v>161</v>
      </c>
      <c r="C365" s="14">
        <v>100000</v>
      </c>
    </row>
    <row r="366" spans="1:3" x14ac:dyDescent="0.25">
      <c r="A366" s="55" t="s">
        <v>113</v>
      </c>
      <c r="B366" s="56" t="s">
        <v>114</v>
      </c>
      <c r="C366" s="57">
        <f>C365*0.27</f>
        <v>27000</v>
      </c>
    </row>
    <row r="367" spans="1:3" x14ac:dyDescent="0.25">
      <c r="A367" s="598" t="s">
        <v>115</v>
      </c>
      <c r="B367" s="599"/>
      <c r="C367" s="58">
        <f>SUM(C365:C366)</f>
        <v>127000</v>
      </c>
    </row>
    <row r="368" spans="1:3" ht="19.5" thickBot="1" x14ac:dyDescent="0.35">
      <c r="A368" s="600" t="s">
        <v>162</v>
      </c>
      <c r="B368" s="601"/>
      <c r="C368" s="59">
        <f>SUM(C367,C364,C346,C342)-1</f>
        <v>16586280.939999999</v>
      </c>
    </row>
    <row r="369" spans="1:4" ht="15.75" thickTop="1" x14ac:dyDescent="0.25"/>
    <row r="370" spans="1:4" ht="15.75" thickBot="1" x14ac:dyDescent="0.3"/>
    <row r="371" spans="1:4" ht="20.25" thickTop="1" thickBot="1" x14ac:dyDescent="0.35">
      <c r="A371" s="592" t="s">
        <v>235</v>
      </c>
      <c r="B371" s="593" t="s">
        <v>235</v>
      </c>
      <c r="C371" s="146">
        <f>SUM(C368,C328,C293,C234,C122,C89)</f>
        <v>231313366.56</v>
      </c>
      <c r="D371" t="s">
        <v>239</v>
      </c>
    </row>
    <row r="372" spans="1:4" ht="15.75" thickTop="1" x14ac:dyDescent="0.25"/>
  </sheetData>
  <mergeCells count="67">
    <mergeCell ref="D30:D31"/>
    <mergeCell ref="A42:B42"/>
    <mergeCell ref="A81:B81"/>
    <mergeCell ref="A1:C1"/>
    <mergeCell ref="A3:B3"/>
    <mergeCell ref="A18:B18"/>
    <mergeCell ref="A25:B25"/>
    <mergeCell ref="A48:B48"/>
    <mergeCell ref="A53:B53"/>
    <mergeCell ref="A60:B60"/>
    <mergeCell ref="A62:B62"/>
    <mergeCell ref="A75:B75"/>
    <mergeCell ref="A147:B147"/>
    <mergeCell ref="A82:B82"/>
    <mergeCell ref="A85:B85"/>
    <mergeCell ref="A88:B88"/>
    <mergeCell ref="A89:B89"/>
    <mergeCell ref="A101:B101"/>
    <mergeCell ref="A103:B103"/>
    <mergeCell ref="A121:B121"/>
    <mergeCell ref="A122:B122"/>
    <mergeCell ref="A133:B133"/>
    <mergeCell ref="A137:B137"/>
    <mergeCell ref="A144:B144"/>
    <mergeCell ref="A209:B209"/>
    <mergeCell ref="A153:B153"/>
    <mergeCell ref="A155:B155"/>
    <mergeCell ref="A158:B158"/>
    <mergeCell ref="A159:B159"/>
    <mergeCell ref="A162:B162"/>
    <mergeCell ref="A174:B174"/>
    <mergeCell ref="A179:B179"/>
    <mergeCell ref="A191:B191"/>
    <mergeCell ref="A197:B197"/>
    <mergeCell ref="A202:B202"/>
    <mergeCell ref="A206:B206"/>
    <mergeCell ref="A282:B282"/>
    <mergeCell ref="A220:B220"/>
    <mergeCell ref="A227:B227"/>
    <mergeCell ref="A228:B228"/>
    <mergeCell ref="A234:B234"/>
    <mergeCell ref="A244:B244"/>
    <mergeCell ref="A248:B248"/>
    <mergeCell ref="A259:B259"/>
    <mergeCell ref="A263:B263"/>
    <mergeCell ref="A268:B268"/>
    <mergeCell ref="A271:B271"/>
    <mergeCell ref="A273:B273"/>
    <mergeCell ref="A346:B346"/>
    <mergeCell ref="A287:B287"/>
    <mergeCell ref="A288:B288"/>
    <mergeCell ref="A293:B293"/>
    <mergeCell ref="A303:B303"/>
    <mergeCell ref="A305:B305"/>
    <mergeCell ref="A313:B313"/>
    <mergeCell ref="A319:B319"/>
    <mergeCell ref="A321:B321"/>
    <mergeCell ref="A328:B328"/>
    <mergeCell ref="A331:B331"/>
    <mergeCell ref="A342:B342"/>
    <mergeCell ref="A371:B371"/>
    <mergeCell ref="A353:B353"/>
    <mergeCell ref="A356:B356"/>
    <mergeCell ref="A362:B362"/>
    <mergeCell ref="A364:B364"/>
    <mergeCell ref="A367:B367"/>
    <mergeCell ref="A368:B36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64"/>
  <sheetViews>
    <sheetView showRuler="0" view="pageBreakPreview" topLeftCell="A132" zoomScaleNormal="100" zoomScaleSheetLayoutView="100" workbookViewId="0">
      <selection activeCell="A56" sqref="A56:XFD56"/>
    </sheetView>
  </sheetViews>
  <sheetFormatPr defaultRowHeight="15" x14ac:dyDescent="0.25"/>
  <cols>
    <col min="2" max="2" width="59.7109375" style="119" customWidth="1"/>
    <col min="3" max="3" width="20" customWidth="1"/>
    <col min="4" max="4" width="20.28515625" customWidth="1"/>
    <col min="6" max="6" width="11.42578125" bestFit="1" customWidth="1"/>
    <col min="7" max="7" width="12" bestFit="1" customWidth="1"/>
    <col min="9" max="9" width="12" bestFit="1" customWidth="1"/>
    <col min="11" max="11" width="12" bestFit="1" customWidth="1"/>
  </cols>
  <sheetData>
    <row r="1" spans="1:11" ht="21" x14ac:dyDescent="0.25">
      <c r="A1" s="712" t="s">
        <v>394</v>
      </c>
      <c r="B1" s="712"/>
      <c r="C1" s="712"/>
      <c r="D1" s="712"/>
    </row>
    <row r="2" spans="1:11" ht="21.75" thickBot="1" x14ac:dyDescent="0.3">
      <c r="A2" s="712"/>
      <c r="B2" s="712"/>
      <c r="C2" s="712"/>
      <c r="D2" s="712"/>
    </row>
    <row r="3" spans="1:11" ht="15.75" thickBot="1" x14ac:dyDescent="0.3">
      <c r="A3" s="241" t="s">
        <v>2</v>
      </c>
      <c r="B3" s="671" t="s">
        <v>3</v>
      </c>
      <c r="C3" s="672"/>
      <c r="D3" s="242" t="s">
        <v>287</v>
      </c>
    </row>
    <row r="4" spans="1:11" s="224" customFormat="1" ht="15" customHeight="1" x14ac:dyDescent="0.25">
      <c r="A4" s="512" t="s">
        <v>5</v>
      </c>
      <c r="B4" s="449" t="s">
        <v>461</v>
      </c>
      <c r="C4" s="450"/>
      <c r="D4" s="451">
        <f>SUM(C5:C33)</f>
        <v>34712500</v>
      </c>
    </row>
    <row r="5" spans="1:11" s="52" customFormat="1" ht="15" customHeight="1" x14ac:dyDescent="0.25">
      <c r="A5" s="218"/>
      <c r="B5" s="376" t="s">
        <v>536</v>
      </c>
      <c r="C5" s="227"/>
      <c r="D5" s="219"/>
    </row>
    <row r="6" spans="1:11" s="52" customFormat="1" ht="15" customHeight="1" x14ac:dyDescent="0.25">
      <c r="A6" s="218"/>
      <c r="B6" s="375" t="s">
        <v>627</v>
      </c>
      <c r="C6" s="389">
        <f>260000+4700</f>
        <v>264700</v>
      </c>
      <c r="D6" s="219"/>
      <c r="I6" s="51"/>
      <c r="J6" s="353"/>
    </row>
    <row r="7" spans="1:11" s="52" customFormat="1" ht="15" customHeight="1" x14ac:dyDescent="0.25">
      <c r="A7" s="218"/>
      <c r="B7" s="375" t="s">
        <v>628</v>
      </c>
      <c r="C7" s="389">
        <f>296400*11</f>
        <v>3260400</v>
      </c>
      <c r="D7" s="219"/>
      <c r="I7" s="51"/>
    </row>
    <row r="8" spans="1:11" s="52" customFormat="1" ht="9.75" customHeight="1" x14ac:dyDescent="0.25">
      <c r="A8" s="218"/>
      <c r="B8" s="375"/>
      <c r="C8" s="389"/>
      <c r="D8" s="219"/>
    </row>
    <row r="9" spans="1:11" x14ac:dyDescent="0.25">
      <c r="A9" s="369"/>
      <c r="B9" s="513" t="s">
        <v>549</v>
      </c>
      <c r="C9" s="101"/>
      <c r="D9" s="371"/>
      <c r="E9" s="364"/>
      <c r="I9" s="18"/>
      <c r="J9" s="353"/>
    </row>
    <row r="10" spans="1:11" s="52" customFormat="1" x14ac:dyDescent="0.25">
      <c r="A10" s="369"/>
      <c r="B10" s="514" t="s">
        <v>630</v>
      </c>
      <c r="C10" s="372"/>
      <c r="D10" s="371"/>
      <c r="E10" s="373"/>
      <c r="K10" s="333"/>
    </row>
    <row r="11" spans="1:11" ht="18" customHeight="1" x14ac:dyDescent="0.25">
      <c r="A11" s="369"/>
      <c r="B11" s="375" t="s">
        <v>629</v>
      </c>
      <c r="C11" s="389">
        <f>4*260000</f>
        <v>1040000</v>
      </c>
      <c r="D11" s="371"/>
      <c r="E11" s="758"/>
      <c r="F11" s="759"/>
      <c r="G11" s="759"/>
      <c r="H11" s="759"/>
      <c r="I11" s="365"/>
      <c r="J11" s="365"/>
      <c r="K11" s="18"/>
    </row>
    <row r="12" spans="1:11" ht="15" customHeight="1" x14ac:dyDescent="0.25">
      <c r="A12" s="369"/>
      <c r="B12" s="375" t="s">
        <v>802</v>
      </c>
      <c r="C12" s="389">
        <f>296400*11*4</f>
        <v>13041600</v>
      </c>
      <c r="D12" s="371"/>
      <c r="E12" s="758"/>
      <c r="F12" s="759"/>
      <c r="G12" s="759"/>
      <c r="H12" s="759"/>
      <c r="I12" s="365"/>
      <c r="J12" s="365"/>
      <c r="K12" s="18"/>
    </row>
    <row r="13" spans="1:11" s="52" customFormat="1" ht="15.75" customHeight="1" x14ac:dyDescent="0.25">
      <c r="A13" s="218"/>
      <c r="B13" s="375"/>
      <c r="C13" s="389"/>
      <c r="D13" s="219"/>
    </row>
    <row r="14" spans="1:11" ht="16.5" customHeight="1" x14ac:dyDescent="0.25">
      <c r="A14" s="369"/>
      <c r="B14" s="513" t="s">
        <v>504</v>
      </c>
      <c r="C14" s="227"/>
      <c r="D14" s="515"/>
    </row>
    <row r="15" spans="1:11" s="52" customFormat="1" x14ac:dyDescent="0.25">
      <c r="A15" s="369"/>
      <c r="B15" s="514" t="s">
        <v>631</v>
      </c>
      <c r="C15" s="372"/>
      <c r="D15" s="371"/>
      <c r="E15" s="373"/>
      <c r="K15" s="333"/>
    </row>
    <row r="16" spans="1:11" ht="16.5" customHeight="1" x14ac:dyDescent="0.25">
      <c r="A16" s="369"/>
      <c r="B16" s="375" t="s">
        <v>632</v>
      </c>
      <c r="C16" s="389">
        <f>260000*2</f>
        <v>520000</v>
      </c>
      <c r="D16" s="371"/>
    </row>
    <row r="17" spans="1:11" ht="16.5" customHeight="1" x14ac:dyDescent="0.25">
      <c r="A17" s="369"/>
      <c r="B17" s="375" t="s">
        <v>633</v>
      </c>
      <c r="C17" s="389">
        <f>2*296400*11</f>
        <v>6520800</v>
      </c>
      <c r="D17" s="371"/>
    </row>
    <row r="18" spans="1:11" s="52" customFormat="1" ht="15.75" customHeight="1" x14ac:dyDescent="0.25">
      <c r="A18" s="218"/>
      <c r="B18" s="375"/>
      <c r="C18" s="389"/>
      <c r="D18" s="219"/>
    </row>
    <row r="19" spans="1:11" ht="30" x14ac:dyDescent="0.25">
      <c r="A19" s="369"/>
      <c r="B19" s="513" t="s">
        <v>618</v>
      </c>
      <c r="C19" s="227"/>
      <c r="D19" s="371"/>
      <c r="K19" s="18"/>
    </row>
    <row r="20" spans="1:11" x14ac:dyDescent="0.25">
      <c r="A20" s="369"/>
      <c r="B20" s="376" t="s">
        <v>550</v>
      </c>
      <c r="C20" s="227"/>
      <c r="D20" s="371"/>
      <c r="G20" s="18"/>
    </row>
    <row r="21" spans="1:11" x14ac:dyDescent="0.25">
      <c r="A21" s="369"/>
      <c r="B21" s="375" t="s">
        <v>716</v>
      </c>
      <c r="C21" s="389">
        <v>170000</v>
      </c>
      <c r="D21" s="371"/>
      <c r="G21" s="18"/>
      <c r="H21" s="353"/>
    </row>
    <row r="22" spans="1:11" ht="30" x14ac:dyDescent="0.25">
      <c r="A22" s="369"/>
      <c r="B22" s="375" t="s">
        <v>717</v>
      </c>
      <c r="C22" s="389">
        <f>108000+116000+179000+26000</f>
        <v>429000</v>
      </c>
      <c r="D22" s="371"/>
      <c r="G22" s="18"/>
      <c r="H22" s="353"/>
    </row>
    <row r="23" spans="1:11" x14ac:dyDescent="0.25">
      <c r="A23" s="369"/>
      <c r="B23" s="375" t="s">
        <v>637</v>
      </c>
      <c r="C23" s="389">
        <f>179000*11</f>
        <v>1969000</v>
      </c>
      <c r="D23" s="371"/>
      <c r="I23" s="18"/>
    </row>
    <row r="24" spans="1:11" ht="30" x14ac:dyDescent="0.25">
      <c r="A24" s="369"/>
      <c r="B24" s="375" t="s">
        <v>634</v>
      </c>
      <c r="C24" s="389">
        <f>(108000+116000+108000+80000)*11</f>
        <v>4532000</v>
      </c>
      <c r="D24" s="371"/>
    </row>
    <row r="25" spans="1:11" s="52" customFormat="1" ht="15" customHeight="1" x14ac:dyDescent="0.25">
      <c r="A25" s="218"/>
      <c r="B25" s="375"/>
      <c r="C25" s="389"/>
      <c r="D25" s="219"/>
    </row>
    <row r="26" spans="1:11" x14ac:dyDescent="0.25">
      <c r="A26" s="369"/>
      <c r="B26" s="513" t="s">
        <v>458</v>
      </c>
      <c r="C26" s="227"/>
      <c r="D26" s="371"/>
      <c r="G26" s="18"/>
      <c r="H26" s="353"/>
    </row>
    <row r="27" spans="1:11" x14ac:dyDescent="0.25">
      <c r="A27" s="369"/>
      <c r="B27" s="375" t="s">
        <v>668</v>
      </c>
      <c r="C27" s="389">
        <f>29000+136000</f>
        <v>165000</v>
      </c>
      <c r="D27" s="371"/>
      <c r="I27" s="18"/>
    </row>
    <row r="28" spans="1:11" x14ac:dyDescent="0.25">
      <c r="A28" s="369"/>
      <c r="B28" s="375" t="s">
        <v>635</v>
      </c>
      <c r="C28" s="389">
        <f>(39000+136000)*11</f>
        <v>1925000</v>
      </c>
      <c r="D28" s="371"/>
      <c r="I28" s="18"/>
    </row>
    <row r="29" spans="1:11" s="52" customFormat="1" ht="9.75" customHeight="1" x14ac:dyDescent="0.25">
      <c r="A29" s="218"/>
      <c r="B29" s="375"/>
      <c r="C29" s="389"/>
      <c r="D29" s="219"/>
    </row>
    <row r="30" spans="1:11" x14ac:dyDescent="0.25">
      <c r="A30" s="369"/>
      <c r="B30" s="513" t="s">
        <v>459</v>
      </c>
      <c r="C30" s="389"/>
      <c r="D30" s="371"/>
    </row>
    <row r="31" spans="1:11" s="173" customFormat="1" ht="31.5" customHeight="1" x14ac:dyDescent="0.25">
      <c r="A31" s="504"/>
      <c r="B31" s="516" t="s">
        <v>746</v>
      </c>
      <c r="C31" s="389"/>
      <c r="D31" s="517"/>
      <c r="F31" s="763"/>
      <c r="G31" s="764"/>
      <c r="H31" s="764"/>
      <c r="I31" s="764"/>
      <c r="J31" s="765"/>
    </row>
    <row r="32" spans="1:11" x14ac:dyDescent="0.25">
      <c r="A32" s="369"/>
      <c r="B32" s="375" t="s">
        <v>747</v>
      </c>
      <c r="C32" s="389">
        <v>50000</v>
      </c>
      <c r="D32" s="371"/>
      <c r="F32" s="766"/>
      <c r="G32" s="767"/>
      <c r="H32" s="767"/>
      <c r="I32" s="767"/>
      <c r="J32" s="768"/>
    </row>
    <row r="33" spans="1:11" x14ac:dyDescent="0.25">
      <c r="A33" s="369"/>
      <c r="B33" s="375" t="s">
        <v>636</v>
      </c>
      <c r="C33" s="389">
        <f>75000*11</f>
        <v>825000</v>
      </c>
      <c r="D33" s="371"/>
      <c r="F33" s="751"/>
      <c r="G33" s="751"/>
      <c r="H33" s="751"/>
      <c r="I33" s="751"/>
    </row>
    <row r="34" spans="1:11" x14ac:dyDescent="0.25">
      <c r="A34" s="369"/>
      <c r="B34" s="375"/>
      <c r="C34" s="389"/>
      <c r="D34" s="371"/>
    </row>
    <row r="35" spans="1:11" s="224" customFormat="1" ht="15" customHeight="1" x14ac:dyDescent="0.25">
      <c r="A35" s="468" t="s">
        <v>169</v>
      </c>
      <c r="B35" s="376" t="s">
        <v>396</v>
      </c>
      <c r="C35" s="518"/>
      <c r="D35" s="460">
        <f>SUM(C37:C39)</f>
        <v>2214150</v>
      </c>
    </row>
    <row r="36" spans="1:11" x14ac:dyDescent="0.25">
      <c r="A36" s="369"/>
      <c r="B36" s="370" t="s">
        <v>551</v>
      </c>
      <c r="C36" s="125"/>
      <c r="D36" s="371"/>
    </row>
    <row r="37" spans="1:11" s="161" customFormat="1" ht="33.75" customHeight="1" x14ac:dyDescent="0.25">
      <c r="A37" s="473"/>
      <c r="B37" s="370" t="s">
        <v>638</v>
      </c>
      <c r="C37" s="519">
        <v>167400</v>
      </c>
      <c r="D37" s="520"/>
      <c r="F37" s="683"/>
      <c r="G37" s="684"/>
      <c r="H37" s="684"/>
      <c r="I37" s="684"/>
      <c r="J37" s="684"/>
      <c r="K37" s="685"/>
    </row>
    <row r="38" spans="1:11" x14ac:dyDescent="0.25">
      <c r="A38" s="369"/>
      <c r="B38" s="375" t="s">
        <v>639</v>
      </c>
      <c r="C38" s="389">
        <f>128*52*300</f>
        <v>1996800</v>
      </c>
      <c r="D38" s="371"/>
      <c r="I38" s="18"/>
    </row>
    <row r="39" spans="1:11" x14ac:dyDescent="0.25">
      <c r="A39" s="369"/>
      <c r="B39" s="375" t="s">
        <v>640</v>
      </c>
      <c r="C39" s="389">
        <f>111*450</f>
        <v>49950</v>
      </c>
      <c r="D39" s="371"/>
      <c r="G39" s="752"/>
      <c r="H39" s="752"/>
      <c r="I39" s="18"/>
    </row>
    <row r="40" spans="1:11" x14ac:dyDescent="0.25">
      <c r="A40" s="369"/>
      <c r="B40" s="370"/>
      <c r="C40" s="521"/>
      <c r="D40" s="371"/>
    </row>
    <row r="41" spans="1:11" s="224" customFormat="1" ht="15" customHeight="1" x14ac:dyDescent="0.25">
      <c r="A41" s="468" t="s">
        <v>12</v>
      </c>
      <c r="B41" s="376" t="s">
        <v>449</v>
      </c>
      <c r="C41" s="518"/>
      <c r="D41" s="460">
        <f>SUM(C42:C42)</f>
        <v>0</v>
      </c>
    </row>
    <row r="42" spans="1:11" x14ac:dyDescent="0.25">
      <c r="A42" s="369"/>
      <c r="B42" s="375" t="s">
        <v>641</v>
      </c>
      <c r="C42" s="519">
        <v>0</v>
      </c>
      <c r="D42" s="371"/>
    </row>
    <row r="43" spans="1:11" x14ac:dyDescent="0.25">
      <c r="A43" s="369"/>
      <c r="B43" s="375"/>
      <c r="C43" s="519"/>
      <c r="D43" s="371"/>
    </row>
    <row r="44" spans="1:11" s="224" customFormat="1" ht="15" customHeight="1" x14ac:dyDescent="0.25">
      <c r="A44" s="468" t="s">
        <v>13</v>
      </c>
      <c r="B44" s="376" t="s">
        <v>395</v>
      </c>
      <c r="C44" s="518"/>
      <c r="D44" s="460">
        <f>SUM(C45)</f>
        <v>540000</v>
      </c>
    </row>
    <row r="45" spans="1:11" s="161" customFormat="1" x14ac:dyDescent="0.25">
      <c r="A45" s="473"/>
      <c r="B45" s="370" t="s">
        <v>803</v>
      </c>
      <c r="C45" s="102">
        <v>540000</v>
      </c>
      <c r="D45" s="520"/>
    </row>
    <row r="46" spans="1:11" x14ac:dyDescent="0.25">
      <c r="A46" s="369"/>
      <c r="B46" s="514"/>
      <c r="C46" s="522"/>
      <c r="D46" s="371"/>
    </row>
    <row r="47" spans="1:11" s="224" customFormat="1" ht="15" customHeight="1" x14ac:dyDescent="0.25">
      <c r="A47" s="468" t="s">
        <v>15</v>
      </c>
      <c r="B47" s="376" t="s">
        <v>365</v>
      </c>
      <c r="C47" s="518"/>
      <c r="D47" s="460">
        <f>SUM(C48:C49)</f>
        <v>84000</v>
      </c>
      <c r="G47" s="289"/>
    </row>
    <row r="48" spans="1:11" ht="30" x14ac:dyDescent="0.25">
      <c r="A48" s="369"/>
      <c r="B48" s="514" t="s">
        <v>552</v>
      </c>
      <c r="C48" s="523">
        <f>5*1000*12</f>
        <v>60000</v>
      </c>
      <c r="D48" s="371"/>
      <c r="E48" s="367"/>
      <c r="F48" s="306"/>
      <c r="G48" s="306"/>
      <c r="H48" s="306"/>
    </row>
    <row r="49" spans="1:11" ht="30" x14ac:dyDescent="0.25">
      <c r="A49" s="369"/>
      <c r="B49" s="514" t="s">
        <v>505</v>
      </c>
      <c r="C49" s="523">
        <f>2*1000*12</f>
        <v>24000</v>
      </c>
      <c r="D49" s="371"/>
    </row>
    <row r="50" spans="1:11" s="585" customFormat="1" x14ac:dyDescent="0.25">
      <c r="A50" s="369"/>
      <c r="B50" s="514"/>
      <c r="C50" s="523"/>
      <c r="D50" s="371"/>
    </row>
    <row r="51" spans="1:11" s="585" customFormat="1" x14ac:dyDescent="0.25">
      <c r="A51" s="468" t="s">
        <v>18</v>
      </c>
      <c r="B51" s="376" t="s">
        <v>835</v>
      </c>
      <c r="C51" s="452"/>
      <c r="D51" s="460">
        <f>SUM(C52)</f>
        <v>315791</v>
      </c>
      <c r="F51" s="437"/>
      <c r="G51" s="437"/>
      <c r="H51" s="437"/>
      <c r="I51" s="437"/>
      <c r="J51" s="437"/>
      <c r="K51" s="437"/>
    </row>
    <row r="52" spans="1:11" s="302" customFormat="1" x14ac:dyDescent="0.25">
      <c r="A52" s="218"/>
      <c r="B52" s="469" t="s">
        <v>834</v>
      </c>
      <c r="C52" s="389">
        <v>315791</v>
      </c>
      <c r="D52" s="219"/>
      <c r="F52" s="438"/>
      <c r="G52" s="438"/>
      <c r="H52" s="438"/>
      <c r="I52" s="438"/>
      <c r="J52" s="438"/>
      <c r="K52" s="438"/>
    </row>
    <row r="53" spans="1:11" s="585" customFormat="1" x14ac:dyDescent="0.25">
      <c r="A53" s="369"/>
      <c r="B53" s="514"/>
      <c r="C53" s="523"/>
      <c r="D53" s="371"/>
    </row>
    <row r="54" spans="1:11" ht="15.75" x14ac:dyDescent="0.25">
      <c r="A54" s="762" t="s">
        <v>23</v>
      </c>
      <c r="B54" s="607"/>
      <c r="C54" s="159"/>
      <c r="D54" s="331">
        <f>SUM(D4:D52)</f>
        <v>37866441</v>
      </c>
    </row>
    <row r="55" spans="1:11" s="224" customFormat="1" ht="15" customHeight="1" x14ac:dyDescent="0.25">
      <c r="A55" s="220" t="s">
        <v>475</v>
      </c>
      <c r="B55" s="221" t="s">
        <v>366</v>
      </c>
      <c r="C55" s="228"/>
      <c r="D55" s="223">
        <v>4910295</v>
      </c>
      <c r="F55" s="357"/>
      <c r="G55" s="357"/>
    </row>
    <row r="56" spans="1:11" s="585" customFormat="1" x14ac:dyDescent="0.25">
      <c r="A56" s="220"/>
      <c r="B56" s="221" t="s">
        <v>836</v>
      </c>
      <c r="C56" s="303">
        <v>41055</v>
      </c>
      <c r="D56" s="223"/>
      <c r="F56" s="586"/>
      <c r="G56" s="586"/>
      <c r="H56" s="586"/>
      <c r="I56" s="586"/>
      <c r="J56" s="586"/>
      <c r="K56" s="437"/>
    </row>
    <row r="57" spans="1:11" x14ac:dyDescent="0.25">
      <c r="A57" s="261"/>
      <c r="B57" s="511" t="s">
        <v>718</v>
      </c>
      <c r="C57" s="368">
        <f>SUM(C6,C11,C16,C21,C22,C27,C32)*0.13</f>
        <v>343031</v>
      </c>
      <c r="D57" s="354"/>
    </row>
    <row r="58" spans="1:11" x14ac:dyDescent="0.25">
      <c r="A58" s="261"/>
      <c r="B58" s="511" t="s">
        <v>719</v>
      </c>
      <c r="C58" s="368">
        <f>SUM(C7,C12,C17,C23,C24,C28,C33)*0.13</f>
        <v>4169594</v>
      </c>
      <c r="D58" s="354"/>
    </row>
    <row r="59" spans="1:11" x14ac:dyDescent="0.25">
      <c r="A59" s="261"/>
      <c r="B59" s="511" t="s">
        <v>720</v>
      </c>
      <c r="C59" s="368">
        <f>SUM(C37)*0.13</f>
        <v>21762</v>
      </c>
      <c r="D59" s="354"/>
    </row>
    <row r="60" spans="1:11" x14ac:dyDescent="0.25">
      <c r="A60" s="261"/>
      <c r="B60" s="511" t="s">
        <v>721</v>
      </c>
      <c r="C60" s="368">
        <f>(C38+C39)*0.13</f>
        <v>266077.5</v>
      </c>
      <c r="D60" s="354"/>
    </row>
    <row r="61" spans="1:11" x14ac:dyDescent="0.25">
      <c r="A61" s="261"/>
      <c r="B61" s="511" t="s">
        <v>553</v>
      </c>
      <c r="C61" s="368">
        <f>SUM(C42:C42)*0.13</f>
        <v>0</v>
      </c>
      <c r="D61" s="354"/>
    </row>
    <row r="62" spans="1:11" x14ac:dyDescent="0.25">
      <c r="A62" s="261"/>
      <c r="B62" s="511" t="s">
        <v>554</v>
      </c>
      <c r="C62" s="368">
        <f>SUM(C48:C49)*0.13</f>
        <v>10920</v>
      </c>
      <c r="D62" s="354"/>
    </row>
    <row r="63" spans="1:11" x14ac:dyDescent="0.25">
      <c r="A63" s="261"/>
      <c r="B63" s="511" t="s">
        <v>555</v>
      </c>
      <c r="C63" s="368">
        <f>C88*1.27*0.2*1.18*0.13</f>
        <v>3646.9929600000005</v>
      </c>
      <c r="D63" s="354"/>
    </row>
    <row r="64" spans="1:11" x14ac:dyDescent="0.25">
      <c r="A64" s="261"/>
      <c r="B64" s="511" t="s">
        <v>801</v>
      </c>
      <c r="C64" s="368">
        <v>50000</v>
      </c>
      <c r="D64" s="354"/>
      <c r="F64" s="686"/>
      <c r="G64" s="687"/>
      <c r="H64" s="687"/>
      <c r="I64" s="687"/>
      <c r="J64" s="687"/>
      <c r="K64" s="688"/>
    </row>
    <row r="65" spans="1:9" x14ac:dyDescent="0.25">
      <c r="A65" s="261"/>
      <c r="B65" s="511" t="s">
        <v>460</v>
      </c>
      <c r="C65" s="368">
        <f>C88*1.27*0.2*1.18*0.15</f>
        <v>4208.0688</v>
      </c>
      <c r="D65" s="354"/>
    </row>
    <row r="66" spans="1:9" ht="15.75" x14ac:dyDescent="0.25">
      <c r="A66" s="762" t="s">
        <v>32</v>
      </c>
      <c r="B66" s="607"/>
      <c r="C66" s="159"/>
      <c r="D66" s="331">
        <f>SUM(D55:D65)</f>
        <v>4910295</v>
      </c>
      <c r="G66" s="752"/>
      <c r="H66" s="752"/>
      <c r="I66" s="752"/>
    </row>
    <row r="67" spans="1:9" x14ac:dyDescent="0.25">
      <c r="A67" s="245" t="s">
        <v>127</v>
      </c>
      <c r="B67" s="257" t="s">
        <v>128</v>
      </c>
      <c r="C67" s="212"/>
      <c r="D67" s="204">
        <f>SUM(C68:C71)</f>
        <v>150000</v>
      </c>
    </row>
    <row r="68" spans="1:9" x14ac:dyDescent="0.25">
      <c r="A68" s="504"/>
      <c r="B68" s="516" t="s">
        <v>399</v>
      </c>
      <c r="C68" s="491">
        <v>30000</v>
      </c>
      <c r="D68" s="219"/>
    </row>
    <row r="69" spans="1:9" ht="16.5" customHeight="1" x14ac:dyDescent="0.25">
      <c r="A69" s="504"/>
      <c r="B69" s="465" t="s">
        <v>398</v>
      </c>
      <c r="C69" s="491">
        <v>50000</v>
      </c>
      <c r="D69" s="219"/>
    </row>
    <row r="70" spans="1:9" x14ac:dyDescent="0.25">
      <c r="A70" s="504"/>
      <c r="B70" s="516" t="s">
        <v>351</v>
      </c>
      <c r="C70" s="491">
        <v>10000</v>
      </c>
      <c r="D70" s="219"/>
    </row>
    <row r="71" spans="1:9" x14ac:dyDescent="0.25">
      <c r="A71" s="504"/>
      <c r="B71" s="465" t="s">
        <v>317</v>
      </c>
      <c r="C71" s="491">
        <v>60000</v>
      </c>
      <c r="D71" s="219"/>
    </row>
    <row r="72" spans="1:9" x14ac:dyDescent="0.25">
      <c r="A72" s="487" t="s">
        <v>129</v>
      </c>
      <c r="B72" s="513" t="s">
        <v>130</v>
      </c>
      <c r="C72" s="506"/>
      <c r="D72" s="460">
        <f>SUM(C73:C80)</f>
        <v>2210000</v>
      </c>
    </row>
    <row r="73" spans="1:9" x14ac:dyDescent="0.25">
      <c r="A73" s="471"/>
      <c r="B73" s="375" t="s">
        <v>358</v>
      </c>
      <c r="C73" s="491">
        <f>175000+35000</f>
        <v>210000</v>
      </c>
      <c r="D73" s="219"/>
    </row>
    <row r="74" spans="1:9" x14ac:dyDescent="0.25">
      <c r="A74" s="471"/>
      <c r="B74" s="375" t="s">
        <v>447</v>
      </c>
      <c r="C74" s="491">
        <v>1700000</v>
      </c>
      <c r="D74" s="219"/>
    </row>
    <row r="75" spans="1:9" x14ac:dyDescent="0.25">
      <c r="A75" s="471"/>
      <c r="B75" s="375" t="s">
        <v>400</v>
      </c>
      <c r="C75" s="491">
        <v>40000</v>
      </c>
      <c r="D75" s="219"/>
    </row>
    <row r="76" spans="1:9" x14ac:dyDescent="0.25">
      <c r="A76" s="524"/>
      <c r="B76" s="375" t="s">
        <v>583</v>
      </c>
      <c r="C76" s="491">
        <f>5*12000</f>
        <v>60000</v>
      </c>
      <c r="D76" s="219"/>
    </row>
    <row r="77" spans="1:9" x14ac:dyDescent="0.25">
      <c r="A77" s="471"/>
      <c r="B77" s="375" t="s">
        <v>584</v>
      </c>
      <c r="C77" s="491">
        <f>2*15000</f>
        <v>30000</v>
      </c>
      <c r="D77" s="219"/>
    </row>
    <row r="78" spans="1:9" x14ac:dyDescent="0.25">
      <c r="A78" s="471"/>
      <c r="B78" s="375" t="s">
        <v>401</v>
      </c>
      <c r="C78" s="491">
        <v>40000</v>
      </c>
      <c r="D78" s="219"/>
    </row>
    <row r="79" spans="1:9" x14ac:dyDescent="0.25">
      <c r="A79" s="471"/>
      <c r="B79" s="375" t="s">
        <v>402</v>
      </c>
      <c r="C79" s="491">
        <v>50000</v>
      </c>
      <c r="D79" s="219"/>
    </row>
    <row r="80" spans="1:9" x14ac:dyDescent="0.25">
      <c r="A80" s="471"/>
      <c r="B80" s="375" t="s">
        <v>403</v>
      </c>
      <c r="C80" s="491">
        <v>80000</v>
      </c>
      <c r="D80" s="219"/>
    </row>
    <row r="81" spans="1:9" s="176" customFormat="1" x14ac:dyDescent="0.25">
      <c r="A81" s="206"/>
      <c r="B81" s="207" t="s">
        <v>344</v>
      </c>
      <c r="C81" s="230"/>
      <c r="D81" s="208">
        <f>SUM(D67:D80)</f>
        <v>2360000</v>
      </c>
      <c r="E81" s="195"/>
    </row>
    <row r="82" spans="1:9" s="176" customFormat="1" x14ac:dyDescent="0.25">
      <c r="A82" s="245" t="s">
        <v>319</v>
      </c>
      <c r="B82" s="205" t="s">
        <v>320</v>
      </c>
      <c r="C82" s="231"/>
      <c r="D82" s="204">
        <f>SUM(C83:C85)</f>
        <v>846800</v>
      </c>
      <c r="E82" s="195"/>
      <c r="I82" s="378"/>
    </row>
    <row r="83" spans="1:9" x14ac:dyDescent="0.25">
      <c r="A83" s="369"/>
      <c r="B83" s="525" t="s">
        <v>722</v>
      </c>
      <c r="C83" s="491">
        <f>3900*12</f>
        <v>46800</v>
      </c>
      <c r="D83" s="199"/>
      <c r="E83" s="35"/>
    </row>
    <row r="84" spans="1:9" ht="19.5" customHeight="1" x14ac:dyDescent="0.25">
      <c r="A84" s="369"/>
      <c r="B84" s="375" t="s">
        <v>751</v>
      </c>
      <c r="C84" s="491">
        <f>10*5000*12</f>
        <v>600000</v>
      </c>
      <c r="D84" s="199"/>
      <c r="E84" s="35"/>
    </row>
    <row r="85" spans="1:9" ht="30" x14ac:dyDescent="0.25">
      <c r="A85" s="471"/>
      <c r="B85" s="375" t="s">
        <v>585</v>
      </c>
      <c r="C85" s="491">
        <f>10*20000</f>
        <v>200000</v>
      </c>
      <c r="D85" s="199"/>
    </row>
    <row r="86" spans="1:9" s="176" customFormat="1" x14ac:dyDescent="0.25">
      <c r="A86" s="468" t="s">
        <v>273</v>
      </c>
      <c r="B86" s="376" t="s">
        <v>335</v>
      </c>
      <c r="C86" s="494"/>
      <c r="D86" s="204">
        <f>SUM(C87:C88)</f>
        <v>97600</v>
      </c>
      <c r="E86" s="195"/>
    </row>
    <row r="87" spans="1:9" x14ac:dyDescent="0.25">
      <c r="A87" s="526"/>
      <c r="B87" s="375" t="s">
        <v>586</v>
      </c>
      <c r="C87" s="491">
        <f>4*2000*0.5</f>
        <v>4000</v>
      </c>
      <c r="D87" s="199"/>
      <c r="E87" s="35"/>
    </row>
    <row r="88" spans="1:9" x14ac:dyDescent="0.25">
      <c r="A88" s="369"/>
      <c r="B88" s="375" t="s">
        <v>404</v>
      </c>
      <c r="C88" s="491">
        <f>7800*12</f>
        <v>93600</v>
      </c>
      <c r="D88" s="199"/>
      <c r="E88" s="35"/>
    </row>
    <row r="89" spans="1:9" s="176" customFormat="1" x14ac:dyDescent="0.25">
      <c r="A89" s="206"/>
      <c r="B89" s="207" t="s">
        <v>345</v>
      </c>
      <c r="C89" s="230"/>
      <c r="D89" s="208">
        <f>SUM(D82:D87)</f>
        <v>944400</v>
      </c>
      <c r="E89" s="195"/>
    </row>
    <row r="90" spans="1:9" s="176" customFormat="1" x14ac:dyDescent="0.25">
      <c r="A90" s="307" t="s">
        <v>336</v>
      </c>
      <c r="B90" s="205" t="s">
        <v>337</v>
      </c>
      <c r="C90" s="231"/>
      <c r="D90" s="204">
        <f>SUM(C91:C93)</f>
        <v>1022300</v>
      </c>
      <c r="E90" s="195"/>
    </row>
    <row r="91" spans="1:9" x14ac:dyDescent="0.25">
      <c r="A91" s="218"/>
      <c r="B91" s="375" t="s">
        <v>588</v>
      </c>
      <c r="C91" s="491">
        <f>3000*70.1</f>
        <v>210299.99999999997</v>
      </c>
      <c r="D91" s="199"/>
      <c r="E91" s="35"/>
    </row>
    <row r="92" spans="1:9" x14ac:dyDescent="0.25">
      <c r="A92" s="218"/>
      <c r="B92" s="375" t="s">
        <v>587</v>
      </c>
      <c r="C92" s="491">
        <f>1000*747</f>
        <v>747000</v>
      </c>
      <c r="D92" s="199"/>
      <c r="E92" s="35"/>
    </row>
    <row r="93" spans="1:9" x14ac:dyDescent="0.25">
      <c r="A93" s="218"/>
      <c r="B93" s="375" t="s">
        <v>72</v>
      </c>
      <c r="C93" s="491">
        <v>65000</v>
      </c>
      <c r="D93" s="199"/>
      <c r="E93" s="35"/>
    </row>
    <row r="94" spans="1:9" s="176" customFormat="1" x14ac:dyDescent="0.25">
      <c r="A94" s="487" t="s">
        <v>74</v>
      </c>
      <c r="B94" s="376" t="s">
        <v>331</v>
      </c>
      <c r="C94" s="527">
        <v>0</v>
      </c>
      <c r="D94" s="204"/>
      <c r="E94" s="195"/>
    </row>
    <row r="95" spans="1:9" s="176" customFormat="1" x14ac:dyDescent="0.25">
      <c r="A95" s="487" t="s">
        <v>378</v>
      </c>
      <c r="B95" s="376" t="s">
        <v>379</v>
      </c>
      <c r="C95" s="494"/>
      <c r="D95" s="204">
        <f>SUM(C96)</f>
        <v>70000</v>
      </c>
      <c r="E95" s="195"/>
    </row>
    <row r="96" spans="1:9" x14ac:dyDescent="0.25">
      <c r="A96" s="218"/>
      <c r="B96" s="375" t="s">
        <v>430</v>
      </c>
      <c r="C96" s="461">
        <v>70000</v>
      </c>
      <c r="D96" s="199"/>
      <c r="E96" s="35"/>
    </row>
    <row r="97" spans="1:11" s="176" customFormat="1" x14ac:dyDescent="0.25">
      <c r="A97" s="487" t="s">
        <v>79</v>
      </c>
      <c r="B97" s="376" t="s">
        <v>426</v>
      </c>
      <c r="C97" s="494"/>
      <c r="D97" s="204">
        <f>SUM(C98)</f>
        <v>250000</v>
      </c>
      <c r="E97" s="195"/>
    </row>
    <row r="98" spans="1:11" ht="17.25" customHeight="1" x14ac:dyDescent="0.25">
      <c r="A98" s="218"/>
      <c r="B98" s="375" t="s">
        <v>603</v>
      </c>
      <c r="C98" s="461">
        <v>250000</v>
      </c>
      <c r="D98" s="199"/>
      <c r="E98" s="35"/>
    </row>
    <row r="99" spans="1:11" s="176" customFormat="1" x14ac:dyDescent="0.25">
      <c r="A99" s="502" t="s">
        <v>83</v>
      </c>
      <c r="B99" s="376" t="s">
        <v>338</v>
      </c>
      <c r="C99" s="494"/>
      <c r="D99" s="204">
        <f>SUM(C100:C105)</f>
        <v>4120500</v>
      </c>
      <c r="E99" s="195"/>
    </row>
    <row r="100" spans="1:11" x14ac:dyDescent="0.25">
      <c r="A100" s="218"/>
      <c r="B100" s="375" t="s">
        <v>589</v>
      </c>
      <c r="C100" s="491">
        <f>5*3500</f>
        <v>17500</v>
      </c>
      <c r="D100" s="199"/>
      <c r="E100" s="769"/>
      <c r="F100" s="770"/>
      <c r="G100" s="771"/>
      <c r="H100" s="772"/>
      <c r="I100" s="772"/>
      <c r="J100" s="772"/>
      <c r="K100" s="773"/>
    </row>
    <row r="101" spans="1:11" x14ac:dyDescent="0.25">
      <c r="A101" s="218"/>
      <c r="B101" s="375" t="s">
        <v>590</v>
      </c>
      <c r="C101" s="491">
        <f>2*3500</f>
        <v>7000</v>
      </c>
      <c r="D101" s="199"/>
      <c r="E101" s="35"/>
    </row>
    <row r="102" spans="1:11" x14ac:dyDescent="0.25">
      <c r="A102" s="218"/>
      <c r="B102" s="375" t="s">
        <v>799</v>
      </c>
      <c r="C102" s="528">
        <f>10*7000*4*12</f>
        <v>3360000</v>
      </c>
      <c r="D102" s="199"/>
      <c r="E102" s="388"/>
      <c r="G102" s="740"/>
      <c r="H102" s="639"/>
      <c r="I102" s="639"/>
      <c r="J102" s="639"/>
      <c r="K102" s="741"/>
    </row>
    <row r="103" spans="1:11" x14ac:dyDescent="0.25">
      <c r="A103" s="218"/>
      <c r="B103" s="375" t="s">
        <v>800</v>
      </c>
      <c r="C103" s="528">
        <f>7000*4*12</f>
        <v>336000</v>
      </c>
      <c r="D103" s="199"/>
      <c r="E103" s="35"/>
      <c r="G103" s="742"/>
      <c r="H103" s="638"/>
      <c r="I103" s="638"/>
      <c r="J103" s="638"/>
      <c r="K103" s="743"/>
    </row>
    <row r="104" spans="1:11" x14ac:dyDescent="0.25">
      <c r="A104" s="218"/>
      <c r="B104" s="375" t="s">
        <v>406</v>
      </c>
      <c r="C104" s="491">
        <v>100000</v>
      </c>
      <c r="D104" s="199"/>
      <c r="E104" s="35"/>
    </row>
    <row r="105" spans="1:11" x14ac:dyDescent="0.25">
      <c r="A105" s="218"/>
      <c r="B105" s="375" t="s">
        <v>591</v>
      </c>
      <c r="C105" s="491">
        <v>300000</v>
      </c>
      <c r="D105" s="199"/>
      <c r="E105" s="35"/>
    </row>
    <row r="106" spans="1:11" s="176" customFormat="1" x14ac:dyDescent="0.25">
      <c r="A106" s="487" t="s">
        <v>86</v>
      </c>
      <c r="B106" s="376" t="s">
        <v>340</v>
      </c>
      <c r="C106" s="494"/>
      <c r="D106" s="204">
        <f>SUM(C107:C115)</f>
        <v>504000</v>
      </c>
      <c r="E106" s="195"/>
    </row>
    <row r="107" spans="1:11" x14ac:dyDescent="0.25">
      <c r="A107" s="218"/>
      <c r="B107" s="375" t="s">
        <v>407</v>
      </c>
      <c r="C107" s="491">
        <v>50000</v>
      </c>
      <c r="D107" s="199"/>
      <c r="E107" s="35"/>
    </row>
    <row r="108" spans="1:11" x14ac:dyDescent="0.25">
      <c r="A108" s="218"/>
      <c r="B108" s="375" t="s">
        <v>409</v>
      </c>
      <c r="C108" s="491">
        <v>260000</v>
      </c>
      <c r="D108" s="199"/>
      <c r="E108" s="35"/>
    </row>
    <row r="109" spans="1:11" ht="23.25" customHeight="1" x14ac:dyDescent="0.25">
      <c r="A109" s="218"/>
      <c r="B109" s="375" t="s">
        <v>410</v>
      </c>
      <c r="C109" s="491">
        <v>20000</v>
      </c>
      <c r="D109" s="199"/>
      <c r="E109" s="753"/>
      <c r="F109" s="754"/>
      <c r="G109" s="683"/>
      <c r="H109" s="684"/>
      <c r="I109" s="684"/>
      <c r="J109" s="684"/>
      <c r="K109" s="685"/>
    </row>
    <row r="110" spans="1:11" x14ac:dyDescent="0.25">
      <c r="A110" s="218"/>
      <c r="B110" s="375" t="s">
        <v>408</v>
      </c>
      <c r="C110" s="491">
        <v>20000</v>
      </c>
      <c r="D110" s="199"/>
      <c r="E110" s="35"/>
    </row>
    <row r="111" spans="1:11" x14ac:dyDescent="0.25">
      <c r="A111" s="218"/>
      <c r="B111" s="375" t="s">
        <v>445</v>
      </c>
      <c r="C111" s="491">
        <v>12000</v>
      </c>
      <c r="D111" s="199"/>
      <c r="E111" s="35"/>
    </row>
    <row r="112" spans="1:11" x14ac:dyDescent="0.25">
      <c r="A112" s="218"/>
      <c r="B112" s="375" t="s">
        <v>592</v>
      </c>
      <c r="C112" s="491">
        <f>4*16000*0.5</f>
        <v>32000</v>
      </c>
      <c r="D112" s="199"/>
      <c r="E112" s="35"/>
    </row>
    <row r="113" spans="1:5" x14ac:dyDescent="0.25">
      <c r="A113" s="218"/>
      <c r="B113" s="375" t="s">
        <v>534</v>
      </c>
      <c r="C113" s="491">
        <v>30000</v>
      </c>
      <c r="D113" s="199"/>
      <c r="E113" s="35"/>
    </row>
    <row r="114" spans="1:5" x14ac:dyDescent="0.25">
      <c r="A114" s="218"/>
      <c r="B114" s="375" t="s">
        <v>101</v>
      </c>
      <c r="C114" s="491">
        <v>50000</v>
      </c>
      <c r="D114" s="199"/>
      <c r="E114" s="35"/>
    </row>
    <row r="115" spans="1:5" x14ac:dyDescent="0.25">
      <c r="A115" s="218"/>
      <c r="B115" s="375" t="s">
        <v>192</v>
      </c>
      <c r="C115" s="491">
        <v>30000</v>
      </c>
      <c r="D115" s="199"/>
      <c r="E115" s="35"/>
    </row>
    <row r="116" spans="1:5" s="176" customFormat="1" x14ac:dyDescent="0.25">
      <c r="A116" s="206"/>
      <c r="B116" s="207" t="s">
        <v>346</v>
      </c>
      <c r="C116" s="230"/>
      <c r="D116" s="208">
        <f>SUM(D90:D115)</f>
        <v>5966800</v>
      </c>
      <c r="E116" s="195"/>
    </row>
    <row r="117" spans="1:5" s="176" customFormat="1" x14ac:dyDescent="0.25">
      <c r="A117" s="245" t="s">
        <v>103</v>
      </c>
      <c r="B117" s="205" t="s">
        <v>341</v>
      </c>
      <c r="C117" s="231"/>
      <c r="D117" s="204">
        <f>SUM(C118)</f>
        <v>250000</v>
      </c>
      <c r="E117" s="195"/>
    </row>
    <row r="118" spans="1:5" ht="30" x14ac:dyDescent="0.25">
      <c r="A118" s="203"/>
      <c r="B118" s="284" t="s">
        <v>356</v>
      </c>
      <c r="C118" s="171">
        <v>250000</v>
      </c>
      <c r="D118" s="199"/>
      <c r="E118" s="35"/>
    </row>
    <row r="119" spans="1:5" s="176" customFormat="1" x14ac:dyDescent="0.25">
      <c r="A119" s="245" t="s">
        <v>342</v>
      </c>
      <c r="B119" s="205" t="s">
        <v>357</v>
      </c>
      <c r="C119" s="231"/>
      <c r="D119" s="204">
        <v>0</v>
      </c>
      <c r="E119" s="195"/>
    </row>
    <row r="120" spans="1:5" s="176" customFormat="1" x14ac:dyDescent="0.25">
      <c r="A120" s="206"/>
      <c r="B120" s="207" t="s">
        <v>360</v>
      </c>
      <c r="C120" s="213"/>
      <c r="D120" s="208">
        <f>SUM(D117:D119)</f>
        <v>250000</v>
      </c>
      <c r="E120" s="195"/>
    </row>
    <row r="121" spans="1:5" s="176" customFormat="1" x14ac:dyDescent="0.25">
      <c r="A121" s="245" t="s">
        <v>38</v>
      </c>
      <c r="B121" s="205" t="s">
        <v>343</v>
      </c>
      <c r="C121" s="214"/>
      <c r="D121" s="204">
        <f>SUM(C122:C137)</f>
        <v>2134413</v>
      </c>
      <c r="E121" s="195"/>
    </row>
    <row r="122" spans="1:5" x14ac:dyDescent="0.25">
      <c r="A122" s="203"/>
      <c r="B122" s="174" t="s">
        <v>350</v>
      </c>
      <c r="C122" s="215">
        <f>SUM(C68)*0.05</f>
        <v>1500</v>
      </c>
      <c r="D122" s="199"/>
      <c r="E122" s="35"/>
    </row>
    <row r="123" spans="1:5" x14ac:dyDescent="0.25">
      <c r="A123" s="203"/>
      <c r="B123" s="174" t="s">
        <v>353</v>
      </c>
      <c r="C123" s="215">
        <f>SUM(C69:C70)*0.27</f>
        <v>16200.000000000002</v>
      </c>
      <c r="D123" s="199"/>
      <c r="E123" s="35"/>
    </row>
    <row r="124" spans="1:5" x14ac:dyDescent="0.25">
      <c r="A124" s="203"/>
      <c r="B124" s="174" t="s">
        <v>418</v>
      </c>
      <c r="C124" s="215">
        <f>SUM(C71)*0.05</f>
        <v>3000</v>
      </c>
      <c r="D124" s="199"/>
      <c r="E124" s="35"/>
    </row>
    <row r="125" spans="1:5" x14ac:dyDescent="0.25">
      <c r="A125" s="203"/>
      <c r="B125" s="174" t="s">
        <v>354</v>
      </c>
      <c r="C125" s="215">
        <f>SUM(C73:C80)*0.27</f>
        <v>596700</v>
      </c>
      <c r="D125" s="199"/>
      <c r="E125" s="35"/>
    </row>
    <row r="126" spans="1:5" x14ac:dyDescent="0.25">
      <c r="A126" s="203"/>
      <c r="B126" s="174" t="s">
        <v>419</v>
      </c>
      <c r="C126" s="215">
        <f>SUM(C83)*0.05</f>
        <v>2340</v>
      </c>
      <c r="D126" s="199"/>
      <c r="E126" s="35"/>
    </row>
    <row r="127" spans="1:5" x14ac:dyDescent="0.25">
      <c r="A127" s="203"/>
      <c r="B127" s="174" t="s">
        <v>370</v>
      </c>
      <c r="C127" s="215">
        <f>SUM(C85)*0.27</f>
        <v>54000</v>
      </c>
      <c r="D127" s="199"/>
      <c r="E127" s="35"/>
    </row>
    <row r="128" spans="1:5" x14ac:dyDescent="0.25">
      <c r="A128" s="203"/>
      <c r="B128" s="174" t="s">
        <v>420</v>
      </c>
      <c r="C128" s="215">
        <f>SUM(C88)*0.27</f>
        <v>25272</v>
      </c>
      <c r="D128" s="199"/>
      <c r="E128" s="35"/>
    </row>
    <row r="129" spans="1:11" x14ac:dyDescent="0.25">
      <c r="A129" s="203"/>
      <c r="B129" s="174" t="s">
        <v>355</v>
      </c>
      <c r="C129" s="215">
        <f>SUM(C87)*0.27</f>
        <v>1080</v>
      </c>
      <c r="D129" s="199"/>
      <c r="E129" s="35"/>
    </row>
    <row r="130" spans="1:11" x14ac:dyDescent="0.25">
      <c r="A130" s="203"/>
      <c r="B130" s="174" t="s">
        <v>371</v>
      </c>
      <c r="C130" s="215">
        <f>SUM(C91:C93)*0.27</f>
        <v>276021</v>
      </c>
      <c r="D130" s="199"/>
      <c r="E130" s="35"/>
    </row>
    <row r="131" spans="1:11" x14ac:dyDescent="0.25">
      <c r="A131" s="203"/>
      <c r="B131" s="174" t="s">
        <v>137</v>
      </c>
      <c r="C131" s="215">
        <f>SUM(D94)*0.27</f>
        <v>0</v>
      </c>
      <c r="D131" s="199"/>
      <c r="E131" s="35"/>
    </row>
    <row r="132" spans="1:11" x14ac:dyDescent="0.25">
      <c r="A132" s="203"/>
      <c r="B132" s="174" t="s">
        <v>388</v>
      </c>
      <c r="C132" s="215">
        <f>SUM(C96)*0.27</f>
        <v>18900</v>
      </c>
      <c r="D132" s="199"/>
      <c r="E132" s="35"/>
    </row>
    <row r="133" spans="1:11" x14ac:dyDescent="0.25">
      <c r="A133" s="203"/>
      <c r="B133" s="174" t="s">
        <v>389</v>
      </c>
      <c r="C133" s="215">
        <f>SUM(C98)*0.27</f>
        <v>67500</v>
      </c>
      <c r="D133" s="199"/>
      <c r="E133" s="35"/>
    </row>
    <row r="134" spans="1:11" x14ac:dyDescent="0.25">
      <c r="A134" s="203"/>
      <c r="B134" s="174" t="s">
        <v>535</v>
      </c>
      <c r="C134" s="215">
        <f>SUM(C102)*0.27</f>
        <v>907200.00000000012</v>
      </c>
      <c r="D134" s="199"/>
      <c r="E134" s="35"/>
    </row>
    <row r="135" spans="1:11" x14ac:dyDescent="0.25">
      <c r="A135" s="203"/>
      <c r="B135" s="174" t="s">
        <v>723</v>
      </c>
      <c r="C135" s="215">
        <f t="shared" ref="C135:C136" si="0">SUM(C103)*0.27</f>
        <v>90720</v>
      </c>
      <c r="D135" s="199"/>
      <c r="E135" s="35"/>
    </row>
    <row r="136" spans="1:11" x14ac:dyDescent="0.25">
      <c r="A136" s="203"/>
      <c r="B136" s="174" t="s">
        <v>724</v>
      </c>
      <c r="C136" s="215">
        <f t="shared" si="0"/>
        <v>27000</v>
      </c>
      <c r="D136" s="199"/>
      <c r="E136" s="35"/>
    </row>
    <row r="137" spans="1:11" x14ac:dyDescent="0.25">
      <c r="A137" s="203"/>
      <c r="B137" s="174" t="s">
        <v>372</v>
      </c>
      <c r="C137" s="215">
        <f>SUM(C110:C115)*0.27</f>
        <v>46980</v>
      </c>
      <c r="D137" s="199"/>
      <c r="E137" s="35"/>
    </row>
    <row r="138" spans="1:11" s="176" customFormat="1" x14ac:dyDescent="0.25">
      <c r="A138" s="245" t="s">
        <v>107</v>
      </c>
      <c r="B138" s="205" t="s">
        <v>348</v>
      </c>
      <c r="C138" s="214"/>
      <c r="D138" s="204">
        <f>SUM(C139:C140)</f>
        <v>193000</v>
      </c>
      <c r="E138" s="195"/>
    </row>
    <row r="139" spans="1:11" ht="30" x14ac:dyDescent="0.25">
      <c r="A139" s="203"/>
      <c r="B139" s="284" t="s">
        <v>593</v>
      </c>
      <c r="C139" s="171">
        <f>16000*12</f>
        <v>192000</v>
      </c>
      <c r="D139" s="199"/>
      <c r="E139" s="760"/>
      <c r="F139" s="761"/>
      <c r="G139" s="761"/>
      <c r="H139" s="715"/>
      <c r="I139" s="716"/>
      <c r="J139" s="716"/>
      <c r="K139" s="717"/>
    </row>
    <row r="140" spans="1:11" ht="30" x14ac:dyDescent="0.25">
      <c r="A140" s="203"/>
      <c r="B140" s="284" t="s">
        <v>349</v>
      </c>
      <c r="C140" s="171">
        <v>1000</v>
      </c>
      <c r="D140" s="199"/>
      <c r="E140" s="35"/>
      <c r="H140" s="751"/>
      <c r="I140" s="751"/>
    </row>
    <row r="141" spans="1:11" s="176" customFormat="1" x14ac:dyDescent="0.25">
      <c r="A141" s="206"/>
      <c r="B141" s="207" t="s">
        <v>347</v>
      </c>
      <c r="C141" s="213"/>
      <c r="D141" s="208">
        <f>SUM(D121:D140)</f>
        <v>2327413</v>
      </c>
      <c r="E141" s="195"/>
    </row>
    <row r="142" spans="1:11" ht="15.75" x14ac:dyDescent="0.25">
      <c r="A142" s="762" t="s">
        <v>110</v>
      </c>
      <c r="B142" s="607"/>
      <c r="C142" s="159"/>
      <c r="D142" s="331">
        <f>SUM(D141,D120,D116,D89,D81)</f>
        <v>11848613</v>
      </c>
    </row>
    <row r="143" spans="1:11" s="176" customFormat="1" x14ac:dyDescent="0.25">
      <c r="A143" s="245" t="s">
        <v>412</v>
      </c>
      <c r="B143" s="205" t="s">
        <v>413</v>
      </c>
      <c r="C143" s="214"/>
      <c r="D143" s="204">
        <f>SUM(C144)</f>
        <v>90000</v>
      </c>
      <c r="E143" s="195"/>
    </row>
    <row r="144" spans="1:11" x14ac:dyDescent="0.25">
      <c r="A144" s="203"/>
      <c r="B144" s="284" t="s">
        <v>594</v>
      </c>
      <c r="C144" s="171">
        <v>90000</v>
      </c>
      <c r="D144" s="199"/>
      <c r="E144" s="35"/>
    </row>
    <row r="145" spans="1:9" s="176" customFormat="1" x14ac:dyDescent="0.25">
      <c r="A145" s="245" t="s">
        <v>203</v>
      </c>
      <c r="B145" s="205" t="s">
        <v>411</v>
      </c>
      <c r="C145" s="214"/>
      <c r="D145" s="204">
        <f>SUM(C146:C147)</f>
        <v>320000</v>
      </c>
      <c r="E145" s="195"/>
    </row>
    <row r="146" spans="1:9" s="176" customFormat="1" x14ac:dyDescent="0.25">
      <c r="A146" s="245"/>
      <c r="B146" s="514" t="s">
        <v>596</v>
      </c>
      <c r="C146" s="171">
        <v>270000</v>
      </c>
      <c r="D146" s="204"/>
      <c r="E146" s="195"/>
    </row>
    <row r="147" spans="1:9" s="176" customFormat="1" x14ac:dyDescent="0.25">
      <c r="A147" s="245"/>
      <c r="B147" s="370" t="s">
        <v>414</v>
      </c>
      <c r="C147" s="171">
        <v>50000</v>
      </c>
      <c r="D147" s="204"/>
      <c r="E147" s="195"/>
    </row>
    <row r="148" spans="1:9" s="176" customFormat="1" x14ac:dyDescent="0.25">
      <c r="A148" s="245" t="s">
        <v>111</v>
      </c>
      <c r="B148" s="205" t="s">
        <v>205</v>
      </c>
      <c r="C148" s="214"/>
      <c r="D148" s="204">
        <f>SUM(C149)</f>
        <v>50000</v>
      </c>
      <c r="E148" s="195"/>
    </row>
    <row r="149" spans="1:9" x14ac:dyDescent="0.25">
      <c r="A149" s="203"/>
      <c r="B149" s="370" t="s">
        <v>595</v>
      </c>
      <c r="C149" s="171">
        <v>50000</v>
      </c>
      <c r="D149" s="199"/>
      <c r="E149" s="35"/>
    </row>
    <row r="150" spans="1:9" s="176" customFormat="1" x14ac:dyDescent="0.25">
      <c r="A150" s="245" t="s">
        <v>113</v>
      </c>
      <c r="B150" s="205" t="s">
        <v>114</v>
      </c>
      <c r="C150" s="214"/>
      <c r="D150" s="204">
        <f>SUM(C151:C153)</f>
        <v>124200</v>
      </c>
      <c r="E150" s="195"/>
    </row>
    <row r="151" spans="1:9" x14ac:dyDescent="0.25">
      <c r="A151" s="203"/>
      <c r="B151" s="174" t="s">
        <v>415</v>
      </c>
      <c r="C151" s="171">
        <f>SUM(C144)*0.27</f>
        <v>24300</v>
      </c>
      <c r="D151" s="199"/>
      <c r="E151" s="35"/>
    </row>
    <row r="152" spans="1:9" x14ac:dyDescent="0.25">
      <c r="A152" s="203"/>
      <c r="B152" s="174" t="s">
        <v>416</v>
      </c>
      <c r="C152" s="171">
        <f>SUM(C146:C147)*0.27</f>
        <v>86400</v>
      </c>
      <c r="D152" s="199"/>
      <c r="E152" s="35"/>
    </row>
    <row r="153" spans="1:9" x14ac:dyDescent="0.25">
      <c r="A153" s="203"/>
      <c r="B153" s="174" t="s">
        <v>417</v>
      </c>
      <c r="C153" s="171">
        <f>SUM(C149)*0.27</f>
        <v>13500</v>
      </c>
      <c r="D153" s="199"/>
      <c r="E153" s="35"/>
      <c r="F153" s="686"/>
      <c r="G153" s="687"/>
      <c r="H153" s="687"/>
      <c r="I153" s="688"/>
    </row>
    <row r="154" spans="1:9" ht="15.75" x14ac:dyDescent="0.25">
      <c r="A154" s="762" t="s">
        <v>333</v>
      </c>
      <c r="B154" s="607" t="s">
        <v>115</v>
      </c>
      <c r="C154" s="159"/>
      <c r="D154" s="331">
        <f>SUM(D143:D153)</f>
        <v>584200</v>
      </c>
    </row>
    <row r="155" spans="1:9" ht="15" customHeight="1" x14ac:dyDescent="0.25">
      <c r="A155" s="262"/>
      <c r="B155" s="160"/>
      <c r="C155" s="217"/>
      <c r="D155" s="200"/>
      <c r="E155" s="22"/>
    </row>
    <row r="156" spans="1:9" ht="15" customHeight="1" x14ac:dyDescent="0.25">
      <c r="A156" s="262"/>
      <c r="B156" s="160"/>
      <c r="C156" s="217"/>
      <c r="D156" s="200"/>
      <c r="E156" s="22"/>
      <c r="G156" s="405"/>
    </row>
    <row r="157" spans="1:9" ht="15.75" x14ac:dyDescent="0.25">
      <c r="A157" s="762" t="s">
        <v>120</v>
      </c>
      <c r="B157" s="607" t="s">
        <v>233</v>
      </c>
      <c r="C157" s="159"/>
      <c r="D157" s="331">
        <v>0</v>
      </c>
    </row>
    <row r="158" spans="1:9" ht="15.75" thickBot="1" x14ac:dyDescent="0.3">
      <c r="A158" s="263"/>
      <c r="B158" s="258"/>
      <c r="C158" s="136"/>
      <c r="D158" s="260"/>
    </row>
    <row r="159" spans="1:9" s="194" customFormat="1" ht="18" thickBot="1" x14ac:dyDescent="0.35">
      <c r="A159" s="745" t="s">
        <v>422</v>
      </c>
      <c r="B159" s="746"/>
      <c r="C159" s="340">
        <f>SUM(C4:C158)</f>
        <v>55209548.561760001</v>
      </c>
      <c r="D159" s="256">
        <f>SUM(D157,D154,D142,D66,D54)</f>
        <v>55209549</v>
      </c>
    </row>
    <row r="164" spans="3:3" x14ac:dyDescent="0.25">
      <c r="C164" s="304"/>
    </row>
  </sheetData>
  <mergeCells count="25">
    <mergeCell ref="H140:I140"/>
    <mergeCell ref="E109:F109"/>
    <mergeCell ref="A159:B159"/>
    <mergeCell ref="A154:B154"/>
    <mergeCell ref="A1:D1"/>
    <mergeCell ref="A54:B54"/>
    <mergeCell ref="A66:B66"/>
    <mergeCell ref="A2:D2"/>
    <mergeCell ref="A142:B142"/>
    <mergeCell ref="E11:H12"/>
    <mergeCell ref="E139:G139"/>
    <mergeCell ref="A157:B157"/>
    <mergeCell ref="B3:C3"/>
    <mergeCell ref="F31:J32"/>
    <mergeCell ref="F37:K37"/>
    <mergeCell ref="F64:K64"/>
    <mergeCell ref="F153:I153"/>
    <mergeCell ref="F33:I33"/>
    <mergeCell ref="G39:H39"/>
    <mergeCell ref="G66:I66"/>
    <mergeCell ref="E100:F100"/>
    <mergeCell ref="G102:K103"/>
    <mergeCell ref="G100:K100"/>
    <mergeCell ref="G109:K109"/>
    <mergeCell ref="H139:K139"/>
  </mergeCells>
  <phoneticPr fontId="37" type="noConversion"/>
  <printOptions horizontalCentered="1"/>
  <pageMargins left="0.39370078740157483" right="0.39370078740157483" top="0.9055118110236221" bottom="0.9055118110236221" header="0.31496062992125984" footer="0.31496062992125984"/>
  <pageSetup paperSize="9" scale="87" orientation="portrait" r:id="rId1"/>
  <headerFooter>
    <oddHeader>&amp;C2023. évi költségvetés - tervezet
 Gyermeklánc Óvoda</oddHeader>
  </headerFooter>
  <rowBreaks count="3" manualBreakCount="3">
    <brk id="34" max="16383" man="1"/>
    <brk id="85" max="16383" man="1"/>
    <brk id="1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L135"/>
  <sheetViews>
    <sheetView showRuler="0" view="pageBreakPreview" topLeftCell="A102" zoomScaleNormal="100" zoomScaleSheetLayoutView="100" workbookViewId="0">
      <selection activeCell="A44" sqref="A44:XFD44"/>
    </sheetView>
  </sheetViews>
  <sheetFormatPr defaultRowHeight="15" x14ac:dyDescent="0.25"/>
  <cols>
    <col min="2" max="2" width="59.7109375" style="119" customWidth="1"/>
    <col min="3" max="3" width="18.7109375" bestFit="1" customWidth="1"/>
    <col min="4" max="4" width="20.28515625" customWidth="1"/>
    <col min="6" max="6" width="9.5703125" bestFit="1" customWidth="1"/>
    <col min="7" max="7" width="12.42578125" bestFit="1" customWidth="1"/>
  </cols>
  <sheetData>
    <row r="1" spans="1:10" ht="21" x14ac:dyDescent="0.25">
      <c r="A1" s="712" t="s">
        <v>444</v>
      </c>
      <c r="B1" s="712"/>
      <c r="C1" s="712"/>
      <c r="D1" s="712"/>
    </row>
    <row r="2" spans="1:10" ht="21.75" thickBot="1" x14ac:dyDescent="0.3">
      <c r="A2" s="712"/>
      <c r="B2" s="712"/>
      <c r="C2" s="712"/>
      <c r="D2" s="712"/>
    </row>
    <row r="3" spans="1:10" ht="15.75" thickBot="1" x14ac:dyDescent="0.3">
      <c r="A3" s="241" t="s">
        <v>2</v>
      </c>
      <c r="B3" s="671" t="s">
        <v>3</v>
      </c>
      <c r="C3" s="672"/>
      <c r="D3" s="242" t="s">
        <v>287</v>
      </c>
    </row>
    <row r="4" spans="1:10" s="224" customFormat="1" ht="15" customHeight="1" x14ac:dyDescent="0.25">
      <c r="A4" s="512" t="s">
        <v>5</v>
      </c>
      <c r="B4" s="449" t="s">
        <v>461</v>
      </c>
      <c r="C4" s="450"/>
      <c r="D4" s="240">
        <f>SUM(C5:C26)</f>
        <v>14014200</v>
      </c>
    </row>
    <row r="5" spans="1:10" s="52" customFormat="1" ht="15" customHeight="1" x14ac:dyDescent="0.25">
      <c r="A5" s="218"/>
      <c r="B5" s="370" t="s">
        <v>537</v>
      </c>
      <c r="C5" s="227"/>
      <c r="D5" s="219"/>
    </row>
    <row r="6" spans="1:10" s="52" customFormat="1" ht="15" customHeight="1" x14ac:dyDescent="0.25">
      <c r="A6" s="218"/>
      <c r="B6" s="375" t="s">
        <v>613</v>
      </c>
      <c r="C6" s="227">
        <v>260000</v>
      </c>
      <c r="D6" s="219"/>
      <c r="G6" s="358"/>
      <c r="J6" s="359"/>
    </row>
    <row r="7" spans="1:10" s="52" customFormat="1" ht="15" customHeight="1" x14ac:dyDescent="0.25">
      <c r="A7" s="218"/>
      <c r="B7" s="375" t="s">
        <v>614</v>
      </c>
      <c r="C7" s="389">
        <f>296400*11</f>
        <v>3260400</v>
      </c>
      <c r="D7" s="219"/>
    </row>
    <row r="8" spans="1:10" s="52" customFormat="1" ht="10.5" customHeight="1" x14ac:dyDescent="0.25">
      <c r="A8" s="218"/>
      <c r="B8" s="375"/>
      <c r="C8" s="389"/>
      <c r="D8" s="219"/>
    </row>
    <row r="9" spans="1:10" s="52" customFormat="1" ht="15" customHeight="1" x14ac:dyDescent="0.25">
      <c r="A9" s="218"/>
      <c r="B9" s="370" t="s">
        <v>615</v>
      </c>
      <c r="C9" s="227"/>
      <c r="D9" s="219"/>
      <c r="G9" s="51"/>
      <c r="J9" s="359"/>
    </row>
    <row r="10" spans="1:10" s="52" customFormat="1" ht="15" customHeight="1" x14ac:dyDescent="0.25">
      <c r="A10" s="218"/>
      <c r="B10" s="375" t="s">
        <v>616</v>
      </c>
      <c r="C10" s="227">
        <f>2*260000</f>
        <v>520000</v>
      </c>
      <c r="D10" s="219"/>
    </row>
    <row r="11" spans="1:10" s="52" customFormat="1" ht="15" customHeight="1" x14ac:dyDescent="0.25">
      <c r="A11" s="218"/>
      <c r="B11" s="375" t="s">
        <v>617</v>
      </c>
      <c r="C11" s="389">
        <f>2*296400*11</f>
        <v>6520800</v>
      </c>
      <c r="D11" s="219"/>
    </row>
    <row r="12" spans="1:10" x14ac:dyDescent="0.25">
      <c r="A12" s="369"/>
      <c r="B12" s="375"/>
      <c r="C12" s="389"/>
      <c r="D12" s="354"/>
    </row>
    <row r="13" spans="1:10" ht="30" x14ac:dyDescent="0.25">
      <c r="A13" s="369"/>
      <c r="B13" s="513" t="s">
        <v>618</v>
      </c>
      <c r="C13" s="227"/>
      <c r="D13" s="354"/>
    </row>
    <row r="14" spans="1:10" s="52" customFormat="1" ht="15" customHeight="1" x14ac:dyDescent="0.25">
      <c r="A14" s="218"/>
      <c r="B14" s="370" t="s">
        <v>538</v>
      </c>
      <c r="C14" s="227"/>
      <c r="D14" s="219"/>
    </row>
    <row r="15" spans="1:10" x14ac:dyDescent="0.25">
      <c r="A15" s="369"/>
      <c r="B15" s="375" t="s">
        <v>619</v>
      </c>
      <c r="C15" s="389">
        <v>116000</v>
      </c>
      <c r="D15" s="354"/>
    </row>
    <row r="16" spans="1:10" x14ac:dyDescent="0.25">
      <c r="A16" s="369"/>
      <c r="B16" s="375" t="s">
        <v>698</v>
      </c>
      <c r="C16" s="389">
        <f>116000*11</f>
        <v>1276000</v>
      </c>
      <c r="D16" s="354"/>
    </row>
    <row r="17" spans="1:10" s="52" customFormat="1" ht="13.5" customHeight="1" x14ac:dyDescent="0.25">
      <c r="A17" s="218"/>
      <c r="B17" s="375"/>
      <c r="C17" s="389"/>
      <c r="D17" s="219"/>
    </row>
    <row r="18" spans="1:10" s="52" customFormat="1" ht="15" customHeight="1" x14ac:dyDescent="0.25">
      <c r="A18" s="218"/>
      <c r="B18" s="370" t="s">
        <v>620</v>
      </c>
      <c r="C18" s="227"/>
      <c r="D18" s="219"/>
      <c r="F18" s="51"/>
      <c r="G18" s="363"/>
      <c r="H18" s="363"/>
    </row>
    <row r="19" spans="1:10" x14ac:dyDescent="0.25">
      <c r="A19" s="369"/>
      <c r="B19" s="375" t="s">
        <v>621</v>
      </c>
      <c r="C19" s="389">
        <f>99000+28000</f>
        <v>127000</v>
      </c>
      <c r="D19" s="354"/>
    </row>
    <row r="20" spans="1:10" ht="18.75" customHeight="1" x14ac:dyDescent="0.25">
      <c r="A20" s="369"/>
      <c r="B20" s="375" t="s">
        <v>622</v>
      </c>
      <c r="C20" s="389">
        <f>(99000+35000)*11</f>
        <v>1474000</v>
      </c>
      <c r="D20" s="354"/>
    </row>
    <row r="21" spans="1:10" x14ac:dyDescent="0.25">
      <c r="A21" s="369"/>
      <c r="B21" s="375"/>
      <c r="C21" s="389"/>
      <c r="D21" s="354"/>
    </row>
    <row r="22" spans="1:10" x14ac:dyDescent="0.25">
      <c r="A22" s="369"/>
      <c r="B22" s="513" t="s">
        <v>455</v>
      </c>
      <c r="C22" s="389"/>
      <c r="D22" s="354"/>
    </row>
    <row r="23" spans="1:10" s="173" customFormat="1" ht="31.5" customHeight="1" x14ac:dyDescent="0.25">
      <c r="A23" s="504"/>
      <c r="B23" s="516" t="s">
        <v>748</v>
      </c>
      <c r="C23" s="389"/>
      <c r="D23" s="355"/>
      <c r="F23" s="763"/>
      <c r="G23" s="778"/>
      <c r="H23" s="778"/>
      <c r="I23" s="778"/>
      <c r="J23" s="779"/>
    </row>
    <row r="24" spans="1:10" x14ac:dyDescent="0.25">
      <c r="A24" s="369"/>
      <c r="B24" s="375" t="s">
        <v>623</v>
      </c>
      <c r="C24" s="389">
        <v>20000</v>
      </c>
      <c r="D24" s="354"/>
      <c r="F24" s="780"/>
      <c r="G24" s="781"/>
      <c r="H24" s="781"/>
      <c r="I24" s="781"/>
      <c r="J24" s="782"/>
    </row>
    <row r="25" spans="1:10" ht="18.75" customHeight="1" x14ac:dyDescent="0.25">
      <c r="A25" s="369"/>
      <c r="B25" s="375" t="s">
        <v>624</v>
      </c>
      <c r="C25" s="389">
        <f>40000*11</f>
        <v>440000</v>
      </c>
      <c r="D25" s="354"/>
      <c r="F25" s="751"/>
      <c r="G25" s="751"/>
      <c r="H25" s="751"/>
      <c r="I25" s="751"/>
    </row>
    <row r="26" spans="1:10" s="52" customFormat="1" ht="7.5" customHeight="1" x14ac:dyDescent="0.25">
      <c r="A26" s="218"/>
      <c r="B26" s="375"/>
      <c r="C26" s="389"/>
      <c r="D26" s="219"/>
    </row>
    <row r="27" spans="1:10" x14ac:dyDescent="0.25">
      <c r="A27" s="369"/>
      <c r="B27" s="375"/>
      <c r="C27" s="389"/>
      <c r="D27" s="354"/>
    </row>
    <row r="28" spans="1:10" s="224" customFormat="1" ht="15" customHeight="1" x14ac:dyDescent="0.25">
      <c r="A28" s="468" t="s">
        <v>169</v>
      </c>
      <c r="B28" s="376" t="s">
        <v>396</v>
      </c>
      <c r="C28" s="518"/>
      <c r="D28" s="223">
        <f>SUM(C29:C30)</f>
        <v>0</v>
      </c>
      <c r="G28" s="360"/>
    </row>
    <row r="29" spans="1:10" x14ac:dyDescent="0.25">
      <c r="A29" s="369"/>
      <c r="B29" s="370" t="s">
        <v>450</v>
      </c>
      <c r="C29" s="125">
        <v>0</v>
      </c>
      <c r="D29" s="354"/>
    </row>
    <row r="30" spans="1:10" x14ac:dyDescent="0.25">
      <c r="A30" s="369"/>
      <c r="B30" s="370" t="s">
        <v>451</v>
      </c>
      <c r="C30" s="521">
        <v>0</v>
      </c>
      <c r="D30" s="354"/>
    </row>
    <row r="31" spans="1:10" s="224" customFormat="1" ht="15" customHeight="1" x14ac:dyDescent="0.25">
      <c r="A31" s="468" t="s">
        <v>12</v>
      </c>
      <c r="B31" s="376" t="s">
        <v>449</v>
      </c>
      <c r="C31" s="527"/>
      <c r="D31" s="223">
        <v>0</v>
      </c>
      <c r="G31" s="360"/>
    </row>
    <row r="32" spans="1:10" x14ac:dyDescent="0.25">
      <c r="A32" s="369"/>
      <c r="B32" s="370" t="s">
        <v>625</v>
      </c>
      <c r="C32" s="521">
        <v>0</v>
      </c>
      <c r="D32" s="354"/>
    </row>
    <row r="33" spans="1:11" s="224" customFormat="1" ht="15" customHeight="1" x14ac:dyDescent="0.25">
      <c r="A33" s="468" t="s">
        <v>13</v>
      </c>
      <c r="B33" s="376" t="s">
        <v>395</v>
      </c>
      <c r="C33" s="518"/>
      <c r="D33" s="223">
        <f>SUM(C34)</f>
        <v>40000</v>
      </c>
      <c r="G33" s="360"/>
    </row>
    <row r="34" spans="1:11" x14ac:dyDescent="0.25">
      <c r="A34" s="369"/>
      <c r="B34" s="514" t="s">
        <v>539</v>
      </c>
      <c r="C34" s="125">
        <v>40000</v>
      </c>
      <c r="D34" s="354"/>
    </row>
    <row r="35" spans="1:11" s="224" customFormat="1" ht="15" customHeight="1" x14ac:dyDescent="0.25">
      <c r="A35" s="468" t="s">
        <v>15</v>
      </c>
      <c r="B35" s="376" t="s">
        <v>365</v>
      </c>
      <c r="C35" s="518"/>
      <c r="D35" s="223">
        <f>SUM(C36)</f>
        <v>36000</v>
      </c>
      <c r="G35" s="357"/>
    </row>
    <row r="36" spans="1:11" x14ac:dyDescent="0.25">
      <c r="A36" s="369"/>
      <c r="B36" s="514" t="s">
        <v>626</v>
      </c>
      <c r="C36" s="125">
        <f>3*1000*12</f>
        <v>36000</v>
      </c>
      <c r="D36" s="354"/>
    </row>
    <row r="37" spans="1:11" s="585" customFormat="1" x14ac:dyDescent="0.25">
      <c r="A37" s="369"/>
      <c r="B37" s="514"/>
      <c r="C37" s="125"/>
      <c r="D37" s="354"/>
    </row>
    <row r="38" spans="1:11" s="585" customFormat="1" x14ac:dyDescent="0.25">
      <c r="A38" s="468" t="s">
        <v>18</v>
      </c>
      <c r="B38" s="376" t="s">
        <v>835</v>
      </c>
      <c r="C38" s="452"/>
      <c r="D38" s="460">
        <f>SUM(C39)</f>
        <v>135339</v>
      </c>
      <c r="F38" s="437"/>
      <c r="G38" s="437"/>
      <c r="H38" s="437"/>
      <c r="I38" s="437"/>
      <c r="J38" s="437"/>
      <c r="K38" s="437"/>
    </row>
    <row r="39" spans="1:11" s="302" customFormat="1" x14ac:dyDescent="0.25">
      <c r="A39" s="218"/>
      <c r="B39" s="469" t="s">
        <v>834</v>
      </c>
      <c r="C39" s="389">
        <v>135339</v>
      </c>
      <c r="D39" s="219"/>
      <c r="F39" s="438"/>
      <c r="G39" s="438"/>
      <c r="H39" s="438"/>
      <c r="I39" s="438"/>
      <c r="J39" s="438"/>
      <c r="K39" s="438"/>
    </row>
    <row r="40" spans="1:11" s="585" customFormat="1" x14ac:dyDescent="0.25">
      <c r="A40" s="369"/>
      <c r="B40" s="514"/>
      <c r="C40" s="125"/>
      <c r="D40" s="354"/>
    </row>
    <row r="41" spans="1:11" x14ac:dyDescent="0.25">
      <c r="A41" s="369"/>
      <c r="B41" s="514"/>
      <c r="C41" s="125"/>
      <c r="D41" s="354"/>
    </row>
    <row r="42" spans="1:11" ht="15.75" x14ac:dyDescent="0.25">
      <c r="A42" s="762" t="s">
        <v>23</v>
      </c>
      <c r="B42" s="607"/>
      <c r="C42" s="159"/>
      <c r="D42" s="259">
        <f>SUM(D4:D41)</f>
        <v>14225539</v>
      </c>
      <c r="G42" s="361"/>
    </row>
    <row r="43" spans="1:11" s="224" customFormat="1" ht="15" customHeight="1" x14ac:dyDescent="0.25">
      <c r="A43" s="220" t="s">
        <v>475</v>
      </c>
      <c r="B43" s="221" t="s">
        <v>366</v>
      </c>
      <c r="C43" s="228"/>
      <c r="D43" s="223">
        <v>1894121</v>
      </c>
      <c r="G43" s="357"/>
    </row>
    <row r="44" spans="1:11" s="585" customFormat="1" x14ac:dyDescent="0.25">
      <c r="A44" s="220"/>
      <c r="B44" s="221" t="s">
        <v>836</v>
      </c>
      <c r="C44" s="303">
        <v>17595</v>
      </c>
      <c r="D44" s="223"/>
      <c r="F44" s="586"/>
      <c r="G44" s="586"/>
      <c r="H44" s="586"/>
      <c r="I44" s="586"/>
      <c r="J44" s="586"/>
      <c r="K44" s="437"/>
    </row>
    <row r="45" spans="1:11" x14ac:dyDescent="0.25">
      <c r="A45" s="261"/>
      <c r="B45" s="356" t="s">
        <v>713</v>
      </c>
      <c r="C45" s="362">
        <f>SUM(C6,C10,C15,C19,C24)*0.13</f>
        <v>135590</v>
      </c>
      <c r="D45" s="354"/>
      <c r="E45" s="776"/>
      <c r="F45" s="777"/>
      <c r="G45" s="777"/>
      <c r="H45" s="785"/>
      <c r="I45" s="786"/>
      <c r="J45" s="786"/>
      <c r="K45" s="787"/>
    </row>
    <row r="46" spans="1:11" x14ac:dyDescent="0.25">
      <c r="A46" s="261"/>
      <c r="B46" s="356" t="s">
        <v>714</v>
      </c>
      <c r="C46" s="362">
        <f>SUM(C7,C11,C16,C20,C25,C29,C30,C32)*0.13</f>
        <v>1686256</v>
      </c>
      <c r="D46" s="354"/>
      <c r="E46" s="776"/>
      <c r="F46" s="777"/>
      <c r="G46" s="777"/>
      <c r="H46" s="646"/>
      <c r="I46" s="632"/>
      <c r="J46" s="632"/>
      <c r="K46" s="645"/>
    </row>
    <row r="47" spans="1:11" x14ac:dyDescent="0.25">
      <c r="A47" s="261"/>
      <c r="B47" s="356" t="s">
        <v>715</v>
      </c>
      <c r="C47" s="362">
        <f>SUM(C36)*0.13</f>
        <v>4680</v>
      </c>
      <c r="D47" s="354"/>
      <c r="E47" s="776"/>
      <c r="F47" s="777"/>
      <c r="G47" s="777"/>
      <c r="H47" s="646"/>
      <c r="I47" s="632"/>
      <c r="J47" s="632"/>
      <c r="K47" s="645"/>
    </row>
    <row r="48" spans="1:11" x14ac:dyDescent="0.25">
      <c r="A48" s="261"/>
      <c r="B48" s="356" t="s">
        <v>540</v>
      </c>
      <c r="C48" s="362">
        <f>SUM(C71)*1.27*0.2*1.18*0.13</f>
        <v>0</v>
      </c>
      <c r="D48" s="354"/>
      <c r="E48" s="776"/>
      <c r="F48" s="777"/>
      <c r="G48" s="777"/>
      <c r="H48" s="646"/>
      <c r="I48" s="632"/>
      <c r="J48" s="632"/>
      <c r="K48" s="645"/>
    </row>
    <row r="49" spans="1:11" x14ac:dyDescent="0.25">
      <c r="A49" s="261"/>
      <c r="B49" s="356" t="s">
        <v>397</v>
      </c>
      <c r="C49" s="362">
        <v>50000</v>
      </c>
      <c r="D49" s="354"/>
      <c r="E49" s="776"/>
      <c r="F49" s="777"/>
      <c r="G49" s="777"/>
      <c r="H49" s="646"/>
      <c r="I49" s="632"/>
      <c r="J49" s="632"/>
      <c r="K49" s="645"/>
    </row>
    <row r="50" spans="1:11" x14ac:dyDescent="0.25">
      <c r="A50" s="261"/>
      <c r="B50" s="356" t="s">
        <v>452</v>
      </c>
      <c r="C50" s="362">
        <f>SUM(C71)*1.27*0.2*1.18*0.15</f>
        <v>0</v>
      </c>
      <c r="D50" s="354"/>
      <c r="E50" s="776"/>
      <c r="F50" s="777"/>
      <c r="G50" s="777"/>
      <c r="H50" s="788"/>
      <c r="I50" s="789"/>
      <c r="J50" s="789"/>
      <c r="K50" s="790"/>
    </row>
    <row r="51" spans="1:11" ht="15.75" x14ac:dyDescent="0.25">
      <c r="A51" s="762" t="s">
        <v>32</v>
      </c>
      <c r="B51" s="607"/>
      <c r="C51" s="159"/>
      <c r="D51" s="259">
        <f>SUM(D43:D50)</f>
        <v>1894121</v>
      </c>
    </row>
    <row r="52" spans="1:11" x14ac:dyDescent="0.25">
      <c r="A52" s="245" t="s">
        <v>127</v>
      </c>
      <c r="B52" s="257" t="s">
        <v>128</v>
      </c>
      <c r="C52" s="212"/>
      <c r="D52" s="204">
        <f>SUM(C53:C56)</f>
        <v>150000</v>
      </c>
      <c r="I52" s="752"/>
      <c r="J52" s="752"/>
    </row>
    <row r="53" spans="1:11" x14ac:dyDescent="0.25">
      <c r="A53" s="504"/>
      <c r="B53" s="516" t="s">
        <v>399</v>
      </c>
      <c r="C53" s="491">
        <v>30000</v>
      </c>
      <c r="D53" s="199"/>
    </row>
    <row r="54" spans="1:11" ht="16.5" customHeight="1" x14ac:dyDescent="0.25">
      <c r="A54" s="504"/>
      <c r="B54" s="455" t="s">
        <v>398</v>
      </c>
      <c r="C54" s="491">
        <v>50000</v>
      </c>
      <c r="D54" s="199"/>
    </row>
    <row r="55" spans="1:11" x14ac:dyDescent="0.25">
      <c r="A55" s="504"/>
      <c r="B55" s="516" t="s">
        <v>351</v>
      </c>
      <c r="C55" s="491">
        <v>10000</v>
      </c>
      <c r="D55" s="199"/>
    </row>
    <row r="56" spans="1:11" x14ac:dyDescent="0.25">
      <c r="A56" s="504"/>
      <c r="B56" s="465" t="s">
        <v>317</v>
      </c>
      <c r="C56" s="491">
        <v>60000</v>
      </c>
      <c r="D56" s="199"/>
    </row>
    <row r="57" spans="1:11" x14ac:dyDescent="0.25">
      <c r="A57" s="487" t="s">
        <v>129</v>
      </c>
      <c r="B57" s="513" t="s">
        <v>130</v>
      </c>
      <c r="C57" s="506"/>
      <c r="D57" s="204">
        <f>SUM(C58:C64)</f>
        <v>465000</v>
      </c>
    </row>
    <row r="58" spans="1:11" x14ac:dyDescent="0.25">
      <c r="A58" s="471"/>
      <c r="B58" s="375" t="s">
        <v>358</v>
      </c>
      <c r="C58" s="491">
        <v>210000</v>
      </c>
      <c r="D58" s="199"/>
    </row>
    <row r="59" spans="1:11" x14ac:dyDescent="0.25">
      <c r="A59" s="471"/>
      <c r="B59" s="375" t="s">
        <v>446</v>
      </c>
      <c r="C59" s="491">
        <v>0</v>
      </c>
      <c r="D59" s="199"/>
    </row>
    <row r="60" spans="1:11" x14ac:dyDescent="0.25">
      <c r="A60" s="471"/>
      <c r="B60" s="375" t="s">
        <v>400</v>
      </c>
      <c r="C60" s="491">
        <v>40000</v>
      </c>
      <c r="D60" s="199"/>
    </row>
    <row r="61" spans="1:11" x14ac:dyDescent="0.25">
      <c r="A61" s="471"/>
      <c r="B61" s="375" t="s">
        <v>597</v>
      </c>
      <c r="C61" s="491">
        <f>3*15000</f>
        <v>45000</v>
      </c>
      <c r="D61" s="199"/>
    </row>
    <row r="62" spans="1:11" x14ac:dyDescent="0.25">
      <c r="A62" s="471"/>
      <c r="B62" s="375" t="s">
        <v>401</v>
      </c>
      <c r="C62" s="491">
        <v>40000</v>
      </c>
      <c r="D62" s="199"/>
    </row>
    <row r="63" spans="1:11" x14ac:dyDescent="0.25">
      <c r="A63" s="471"/>
      <c r="B63" s="375" t="s">
        <v>402</v>
      </c>
      <c r="C63" s="491">
        <v>50000</v>
      </c>
      <c r="D63" s="199"/>
    </row>
    <row r="64" spans="1:11" x14ac:dyDescent="0.25">
      <c r="A64" s="471"/>
      <c r="B64" s="375" t="s">
        <v>403</v>
      </c>
      <c r="C64" s="491">
        <v>80000</v>
      </c>
      <c r="D64" s="199"/>
    </row>
    <row r="65" spans="1:12" s="176" customFormat="1" x14ac:dyDescent="0.25">
      <c r="A65" s="206"/>
      <c r="B65" s="207" t="s">
        <v>344</v>
      </c>
      <c r="C65" s="230"/>
      <c r="D65" s="208">
        <f>SUM(D52:D64)</f>
        <v>615000</v>
      </c>
      <c r="E65" s="195"/>
    </row>
    <row r="66" spans="1:12" s="176" customFormat="1" x14ac:dyDescent="0.25">
      <c r="A66" s="245" t="s">
        <v>319</v>
      </c>
      <c r="B66" s="205" t="s">
        <v>320</v>
      </c>
      <c r="C66" s="231"/>
      <c r="D66" s="204">
        <f>SUM(C67:C69)</f>
        <v>320000</v>
      </c>
      <c r="E66" s="195"/>
    </row>
    <row r="67" spans="1:12" x14ac:dyDescent="0.25">
      <c r="A67" s="261"/>
      <c r="B67" s="284" t="s">
        <v>598</v>
      </c>
      <c r="C67" s="171">
        <v>0</v>
      </c>
      <c r="D67" s="199"/>
      <c r="E67" s="35"/>
    </row>
    <row r="68" spans="1:12" ht="33.75" customHeight="1" x14ac:dyDescent="0.25">
      <c r="A68" s="309"/>
      <c r="B68" s="284" t="s">
        <v>752</v>
      </c>
      <c r="C68" s="171">
        <f>4*5000*12</f>
        <v>240000</v>
      </c>
      <c r="D68" s="199"/>
      <c r="E68" s="783"/>
      <c r="F68" s="784"/>
      <c r="G68" s="673"/>
      <c r="H68" s="673"/>
      <c r="I68" s="673"/>
      <c r="J68" s="673"/>
      <c r="K68" s="673"/>
      <c r="L68" s="673"/>
    </row>
    <row r="69" spans="1:12" ht="30" x14ac:dyDescent="0.25">
      <c r="A69" s="244"/>
      <c r="B69" s="284" t="s">
        <v>600</v>
      </c>
      <c r="C69" s="171">
        <f>4*20000</f>
        <v>80000</v>
      </c>
      <c r="D69" s="199"/>
    </row>
    <row r="70" spans="1:12" s="176" customFormat="1" x14ac:dyDescent="0.25">
      <c r="A70" s="206" t="s">
        <v>273</v>
      </c>
      <c r="B70" s="221" t="s">
        <v>335</v>
      </c>
      <c r="C70" s="231"/>
      <c r="D70" s="204">
        <f>SUM(C71:C72)</f>
        <v>4000</v>
      </c>
      <c r="E70" s="195"/>
    </row>
    <row r="71" spans="1:12" x14ac:dyDescent="0.25">
      <c r="A71" s="261"/>
      <c r="B71" s="284" t="s">
        <v>599</v>
      </c>
      <c r="C71" s="171">
        <v>0</v>
      </c>
      <c r="D71" s="199"/>
      <c r="E71" s="35"/>
    </row>
    <row r="72" spans="1:12" x14ac:dyDescent="0.25">
      <c r="A72" s="203"/>
      <c r="B72" s="284" t="s">
        <v>586</v>
      </c>
      <c r="C72" s="171">
        <f>4*2000*0.5</f>
        <v>4000</v>
      </c>
      <c r="D72" s="199"/>
      <c r="E72" s="35"/>
    </row>
    <row r="73" spans="1:12" s="176" customFormat="1" x14ac:dyDescent="0.25">
      <c r="A73" s="206"/>
      <c r="B73" s="207" t="s">
        <v>345</v>
      </c>
      <c r="C73" s="230"/>
      <c r="D73" s="208">
        <f>SUM(D66:D72)</f>
        <v>324000</v>
      </c>
      <c r="E73" s="195"/>
    </row>
    <row r="74" spans="1:12" s="176" customFormat="1" x14ac:dyDescent="0.25">
      <c r="A74" s="245" t="s">
        <v>336</v>
      </c>
      <c r="B74" s="205" t="s">
        <v>337</v>
      </c>
      <c r="C74" s="231"/>
      <c r="D74" s="204">
        <f>SUM(C75:C77)</f>
        <v>1022300</v>
      </c>
      <c r="E74" s="195"/>
    </row>
    <row r="75" spans="1:12" x14ac:dyDescent="0.25">
      <c r="A75" s="218"/>
      <c r="B75" s="375" t="s">
        <v>588</v>
      </c>
      <c r="C75" s="171">
        <f>3000*70.1</f>
        <v>210299.99999999997</v>
      </c>
      <c r="D75" s="199"/>
      <c r="E75" s="35"/>
    </row>
    <row r="76" spans="1:12" x14ac:dyDescent="0.25">
      <c r="A76" s="218"/>
      <c r="B76" s="375" t="s">
        <v>601</v>
      </c>
      <c r="C76" s="171">
        <f>1000*747</f>
        <v>747000</v>
      </c>
      <c r="D76" s="199"/>
      <c r="E76" s="35"/>
    </row>
    <row r="77" spans="1:12" x14ac:dyDescent="0.25">
      <c r="A77" s="218"/>
      <c r="B77" s="375" t="s">
        <v>72</v>
      </c>
      <c r="C77" s="171">
        <v>65000</v>
      </c>
      <c r="D77" s="199"/>
      <c r="E77" s="35"/>
    </row>
    <row r="78" spans="1:12" s="176" customFormat="1" x14ac:dyDescent="0.25">
      <c r="A78" s="487" t="s">
        <v>74</v>
      </c>
      <c r="B78" s="376" t="s">
        <v>331</v>
      </c>
      <c r="C78" s="231"/>
      <c r="D78" s="204">
        <v>0</v>
      </c>
      <c r="E78" s="195"/>
    </row>
    <row r="79" spans="1:12" s="176" customFormat="1" x14ac:dyDescent="0.25">
      <c r="A79" s="487" t="s">
        <v>378</v>
      </c>
      <c r="B79" s="376" t="s">
        <v>379</v>
      </c>
      <c r="C79" s="231"/>
      <c r="D79" s="204">
        <f>SUM(C80)</f>
        <v>50000</v>
      </c>
      <c r="E79" s="195"/>
    </row>
    <row r="80" spans="1:12" x14ac:dyDescent="0.25">
      <c r="A80" s="218"/>
      <c r="B80" s="375" t="s">
        <v>430</v>
      </c>
      <c r="C80" s="209">
        <v>50000</v>
      </c>
      <c r="D80" s="199"/>
      <c r="E80" s="35"/>
    </row>
    <row r="81" spans="1:12" s="176" customFormat="1" x14ac:dyDescent="0.25">
      <c r="A81" s="487" t="s">
        <v>79</v>
      </c>
      <c r="B81" s="376" t="s">
        <v>426</v>
      </c>
      <c r="C81" s="231"/>
      <c r="D81" s="204">
        <f>SUM(C82)</f>
        <v>150000</v>
      </c>
      <c r="E81" s="195"/>
    </row>
    <row r="82" spans="1:12" ht="15" customHeight="1" x14ac:dyDescent="0.25">
      <c r="A82" s="473"/>
      <c r="B82" s="370" t="s">
        <v>602</v>
      </c>
      <c r="C82" s="102">
        <v>150000</v>
      </c>
      <c r="D82" s="199"/>
    </row>
    <row r="83" spans="1:12" s="176" customFormat="1" x14ac:dyDescent="0.25">
      <c r="A83" s="487" t="s">
        <v>83</v>
      </c>
      <c r="B83" s="376" t="s">
        <v>338</v>
      </c>
      <c r="C83" s="231"/>
      <c r="D83" s="204">
        <f>SUM(C84:C85)</f>
        <v>260500</v>
      </c>
      <c r="E83" s="195"/>
    </row>
    <row r="84" spans="1:12" x14ac:dyDescent="0.25">
      <c r="A84" s="218"/>
      <c r="B84" s="375" t="s">
        <v>604</v>
      </c>
      <c r="C84" s="171">
        <f>3*3500</f>
        <v>10500</v>
      </c>
      <c r="D84" s="199"/>
      <c r="E84" s="749"/>
      <c r="F84" s="750"/>
      <c r="G84" s="791"/>
      <c r="H84" s="791"/>
      <c r="I84" s="791"/>
      <c r="J84" s="791"/>
      <c r="K84" s="791"/>
      <c r="L84" s="791"/>
    </row>
    <row r="85" spans="1:12" x14ac:dyDescent="0.25">
      <c r="A85" s="218"/>
      <c r="B85" s="375" t="s">
        <v>405</v>
      </c>
      <c r="C85" s="171">
        <v>250000</v>
      </c>
      <c r="D85" s="199"/>
      <c r="E85" s="35"/>
    </row>
    <row r="86" spans="1:12" s="176" customFormat="1" x14ac:dyDescent="0.25">
      <c r="A86" s="487" t="s">
        <v>86</v>
      </c>
      <c r="B86" s="376" t="s">
        <v>340</v>
      </c>
      <c r="C86" s="231"/>
      <c r="D86" s="204">
        <f>SUM(C87:C93)</f>
        <v>162000</v>
      </c>
      <c r="E86" s="195"/>
    </row>
    <row r="87" spans="1:12" ht="22.5" customHeight="1" x14ac:dyDescent="0.25">
      <c r="A87" s="218"/>
      <c r="B87" s="375" t="s">
        <v>407</v>
      </c>
      <c r="C87" s="171">
        <v>30000</v>
      </c>
      <c r="D87" s="199"/>
      <c r="E87" s="783"/>
      <c r="F87" s="784"/>
      <c r="G87" s="673"/>
      <c r="H87" s="673"/>
      <c r="I87" s="673"/>
      <c r="J87" s="673"/>
      <c r="K87" s="673"/>
      <c r="L87" s="673"/>
    </row>
    <row r="88" spans="1:12" ht="24" customHeight="1" x14ac:dyDescent="0.25">
      <c r="A88" s="218"/>
      <c r="B88" s="375" t="s">
        <v>410</v>
      </c>
      <c r="C88" s="171">
        <v>20000</v>
      </c>
      <c r="D88" s="199"/>
      <c r="E88" s="783"/>
      <c r="F88" s="784"/>
      <c r="G88" s="673"/>
      <c r="H88" s="673"/>
      <c r="I88" s="673"/>
      <c r="J88" s="673"/>
      <c r="K88" s="673"/>
      <c r="L88" s="673"/>
    </row>
    <row r="89" spans="1:12" x14ac:dyDescent="0.25">
      <c r="A89" s="218"/>
      <c r="B89" s="375" t="s">
        <v>408</v>
      </c>
      <c r="C89" s="171">
        <v>20000</v>
      </c>
      <c r="D89" s="199"/>
      <c r="E89" s="35"/>
    </row>
    <row r="90" spans="1:12" x14ac:dyDescent="0.25">
      <c r="A90" s="218"/>
      <c r="B90" s="375" t="s">
        <v>605</v>
      </c>
      <c r="C90" s="171">
        <f>4*16000*0.5</f>
        <v>32000</v>
      </c>
      <c r="D90" s="199"/>
      <c r="E90" s="35"/>
    </row>
    <row r="91" spans="1:12" x14ac:dyDescent="0.25">
      <c r="A91" s="218"/>
      <c r="B91" s="375" t="s">
        <v>87</v>
      </c>
      <c r="C91" s="171">
        <v>30000</v>
      </c>
      <c r="D91" s="199"/>
      <c r="E91" s="35"/>
    </row>
    <row r="92" spans="1:12" x14ac:dyDescent="0.25">
      <c r="A92" s="218"/>
      <c r="B92" s="375" t="s">
        <v>101</v>
      </c>
      <c r="C92" s="171">
        <v>20000</v>
      </c>
      <c r="D92" s="199"/>
      <c r="E92" s="35"/>
      <c r="G92" s="752"/>
      <c r="H92" s="752"/>
      <c r="I92" s="752"/>
      <c r="J92" s="752"/>
    </row>
    <row r="93" spans="1:12" x14ac:dyDescent="0.25">
      <c r="A93" s="218"/>
      <c r="B93" s="375" t="s">
        <v>192</v>
      </c>
      <c r="C93" s="171">
        <v>10000</v>
      </c>
      <c r="D93" s="199"/>
      <c r="E93" s="35"/>
    </row>
    <row r="94" spans="1:12" s="176" customFormat="1" x14ac:dyDescent="0.25">
      <c r="A94" s="206"/>
      <c r="B94" s="207" t="s">
        <v>346</v>
      </c>
      <c r="C94" s="230"/>
      <c r="D94" s="208">
        <f>SUM(D74:D93)</f>
        <v>1644800</v>
      </c>
      <c r="E94" s="195"/>
    </row>
    <row r="95" spans="1:12" s="176" customFormat="1" x14ac:dyDescent="0.25">
      <c r="A95" s="245" t="s">
        <v>103</v>
      </c>
      <c r="B95" s="205" t="s">
        <v>341</v>
      </c>
      <c r="C95" s="231"/>
      <c r="D95" s="204">
        <f>SUM(C96)</f>
        <v>210000</v>
      </c>
      <c r="E95" s="195"/>
    </row>
    <row r="96" spans="1:12" x14ac:dyDescent="0.25">
      <c r="A96" s="203"/>
      <c r="B96" s="284" t="s">
        <v>448</v>
      </c>
      <c r="C96" s="171">
        <v>210000</v>
      </c>
      <c r="D96" s="199"/>
      <c r="E96" s="35"/>
    </row>
    <row r="97" spans="1:7" s="176" customFormat="1" x14ac:dyDescent="0.25">
      <c r="A97" s="245" t="s">
        <v>342</v>
      </c>
      <c r="B97" s="205" t="s">
        <v>357</v>
      </c>
      <c r="C97" s="231"/>
      <c r="D97" s="204">
        <v>0</v>
      </c>
      <c r="E97" s="195"/>
    </row>
    <row r="98" spans="1:7" s="176" customFormat="1" x14ac:dyDescent="0.25">
      <c r="A98" s="206"/>
      <c r="B98" s="207" t="s">
        <v>360</v>
      </c>
      <c r="C98" s="213"/>
      <c r="D98" s="208">
        <f>SUM(D95:D97)</f>
        <v>210000</v>
      </c>
      <c r="E98" s="195"/>
    </row>
    <row r="99" spans="1:7" s="176" customFormat="1" x14ac:dyDescent="0.25">
      <c r="A99" s="245" t="s">
        <v>38</v>
      </c>
      <c r="B99" s="205" t="s">
        <v>343</v>
      </c>
      <c r="C99" s="214"/>
      <c r="D99" s="204">
        <f>SUM(C100:C111)</f>
        <v>488691</v>
      </c>
      <c r="E99" s="195"/>
      <c r="G99" s="330"/>
    </row>
    <row r="100" spans="1:7" x14ac:dyDescent="0.25">
      <c r="A100" s="203"/>
      <c r="B100" s="174" t="s">
        <v>350</v>
      </c>
      <c r="C100" s="215">
        <f>SUM(C53)*0.05</f>
        <v>1500</v>
      </c>
      <c r="D100" s="199"/>
      <c r="E100" s="35"/>
    </row>
    <row r="101" spans="1:7" x14ac:dyDescent="0.25">
      <c r="A101" s="203"/>
      <c r="B101" s="174" t="s">
        <v>353</v>
      </c>
      <c r="C101" s="215">
        <f>SUM(C54:C55)*0.27</f>
        <v>16200.000000000002</v>
      </c>
      <c r="D101" s="199"/>
      <c r="E101" s="35"/>
    </row>
    <row r="102" spans="1:7" x14ac:dyDescent="0.25">
      <c r="A102" s="203"/>
      <c r="B102" s="174" t="s">
        <v>418</v>
      </c>
      <c r="C102" s="215">
        <f>SUM(C56)*0.05</f>
        <v>3000</v>
      </c>
      <c r="D102" s="199"/>
      <c r="E102" s="35"/>
    </row>
    <row r="103" spans="1:7" x14ac:dyDescent="0.25">
      <c r="A103" s="203"/>
      <c r="B103" s="174" t="s">
        <v>354</v>
      </c>
      <c r="C103" s="215">
        <f>SUM(C58:C64)*0.27</f>
        <v>125550.00000000001</v>
      </c>
      <c r="D103" s="199"/>
      <c r="E103" s="35"/>
    </row>
    <row r="104" spans="1:7" x14ac:dyDescent="0.25">
      <c r="A104" s="203"/>
      <c r="B104" s="174" t="s">
        <v>501</v>
      </c>
      <c r="C104" s="215">
        <f>SUM(C67)*0.05</f>
        <v>0</v>
      </c>
      <c r="D104" s="199"/>
      <c r="E104" s="35"/>
    </row>
    <row r="105" spans="1:7" x14ac:dyDescent="0.25">
      <c r="A105" s="203"/>
      <c r="B105" s="174" t="s">
        <v>370</v>
      </c>
      <c r="C105" s="215">
        <f>SUM(C69)*0.27</f>
        <v>21600</v>
      </c>
      <c r="D105" s="199"/>
      <c r="E105" s="35"/>
    </row>
    <row r="106" spans="1:7" x14ac:dyDescent="0.25">
      <c r="A106" s="203"/>
      <c r="B106" s="174" t="s">
        <v>502</v>
      </c>
      <c r="C106" s="215">
        <f>SUM(C71)*0.27</f>
        <v>0</v>
      </c>
      <c r="D106" s="199"/>
      <c r="E106" s="35"/>
    </row>
    <row r="107" spans="1:7" x14ac:dyDescent="0.25">
      <c r="A107" s="203"/>
      <c r="B107" s="174" t="s">
        <v>355</v>
      </c>
      <c r="C107" s="215">
        <f>SUM(C72)*0.27</f>
        <v>1080</v>
      </c>
      <c r="D107" s="199"/>
      <c r="E107" s="35"/>
    </row>
    <row r="108" spans="1:7" x14ac:dyDescent="0.25">
      <c r="A108" s="203"/>
      <c r="B108" s="174" t="s">
        <v>371</v>
      </c>
      <c r="C108" s="215">
        <f>SUM(C75:C77)*0.27</f>
        <v>276021</v>
      </c>
      <c r="D108" s="199"/>
      <c r="E108" s="35"/>
    </row>
    <row r="109" spans="1:7" x14ac:dyDescent="0.25">
      <c r="A109" s="203"/>
      <c r="B109" s="174" t="s">
        <v>137</v>
      </c>
      <c r="C109" s="215">
        <f>SUM(D78)*0.27</f>
        <v>0</v>
      </c>
      <c r="D109" s="199"/>
      <c r="E109" s="35"/>
    </row>
    <row r="110" spans="1:7" x14ac:dyDescent="0.25">
      <c r="A110" s="203"/>
      <c r="B110" s="174" t="s">
        <v>388</v>
      </c>
      <c r="C110" s="215">
        <f>SUM(C80)*0.27</f>
        <v>13500</v>
      </c>
      <c r="D110" s="199"/>
      <c r="E110" s="35"/>
    </row>
    <row r="111" spans="1:7" x14ac:dyDescent="0.25">
      <c r="A111" s="203"/>
      <c r="B111" s="174" t="s">
        <v>372</v>
      </c>
      <c r="C111" s="215">
        <f>SUM(C89:C93)*0.27</f>
        <v>30240.000000000004</v>
      </c>
      <c r="D111" s="199"/>
      <c r="E111" s="35"/>
    </row>
    <row r="112" spans="1:7" s="176" customFormat="1" x14ac:dyDescent="0.25">
      <c r="A112" s="245" t="s">
        <v>107</v>
      </c>
      <c r="B112" s="205" t="s">
        <v>348</v>
      </c>
      <c r="C112" s="214"/>
      <c r="D112" s="204">
        <f>SUM(C113)</f>
        <v>1000</v>
      </c>
      <c r="E112" s="195"/>
    </row>
    <row r="113" spans="1:5" ht="30" x14ac:dyDescent="0.25">
      <c r="A113" s="203"/>
      <c r="B113" s="174" t="s">
        <v>349</v>
      </c>
      <c r="C113" s="171">
        <v>1000</v>
      </c>
      <c r="D113" s="199"/>
      <c r="E113" s="35"/>
    </row>
    <row r="114" spans="1:5" s="176" customFormat="1" x14ac:dyDescent="0.25">
      <c r="A114" s="206"/>
      <c r="B114" s="207" t="s">
        <v>347</v>
      </c>
      <c r="C114" s="213"/>
      <c r="D114" s="208">
        <f>SUM(D99:D113)</f>
        <v>489691</v>
      </c>
      <c r="E114" s="195"/>
    </row>
    <row r="115" spans="1:5" ht="15.75" x14ac:dyDescent="0.25">
      <c r="A115" s="762" t="s">
        <v>110</v>
      </c>
      <c r="B115" s="607"/>
      <c r="C115" s="159"/>
      <c r="D115" s="259">
        <f>SUM(D114,D98,D94,D73,D65)</f>
        <v>3283491</v>
      </c>
    </row>
    <row r="116" spans="1:5" s="176" customFormat="1" x14ac:dyDescent="0.25">
      <c r="A116" s="245" t="s">
        <v>412</v>
      </c>
      <c r="B116" s="205" t="s">
        <v>413</v>
      </c>
      <c r="C116" s="214"/>
      <c r="D116" s="204">
        <f>SUM(C117)</f>
        <v>160000</v>
      </c>
      <c r="E116" s="195"/>
    </row>
    <row r="117" spans="1:5" x14ac:dyDescent="0.25">
      <c r="A117" s="203"/>
      <c r="B117" s="375" t="s">
        <v>421</v>
      </c>
      <c r="C117" s="171">
        <v>160000</v>
      </c>
      <c r="D117" s="199"/>
      <c r="E117" s="35"/>
    </row>
    <row r="118" spans="1:5" x14ac:dyDescent="0.25">
      <c r="A118" s="206" t="s">
        <v>203</v>
      </c>
      <c r="B118" s="530" t="s">
        <v>411</v>
      </c>
      <c r="C118" s="209"/>
      <c r="D118" s="204">
        <f>SUM(C119)</f>
        <v>212598</v>
      </c>
      <c r="E118" s="35"/>
    </row>
    <row r="119" spans="1:5" x14ac:dyDescent="0.25">
      <c r="A119" s="203"/>
      <c r="B119" s="375" t="s">
        <v>487</v>
      </c>
      <c r="C119" s="209">
        <v>212598</v>
      </c>
      <c r="D119" s="199"/>
      <c r="E119" s="35"/>
    </row>
    <row r="120" spans="1:5" s="176" customFormat="1" x14ac:dyDescent="0.25">
      <c r="A120" s="245" t="s">
        <v>111</v>
      </c>
      <c r="B120" s="376" t="s">
        <v>205</v>
      </c>
      <c r="C120" s="214"/>
      <c r="D120" s="204">
        <f>SUM(C121:C122)</f>
        <v>50000</v>
      </c>
      <c r="E120" s="195"/>
    </row>
    <row r="121" spans="1:5" x14ac:dyDescent="0.25">
      <c r="A121" s="203"/>
      <c r="B121" s="370" t="s">
        <v>606</v>
      </c>
      <c r="C121" s="171">
        <v>50000</v>
      </c>
      <c r="D121" s="199"/>
      <c r="E121" s="35"/>
    </row>
    <row r="122" spans="1:5" s="176" customFormat="1" x14ac:dyDescent="0.25">
      <c r="A122" s="245" t="s">
        <v>113</v>
      </c>
      <c r="B122" s="205" t="s">
        <v>114</v>
      </c>
      <c r="C122" s="214"/>
      <c r="D122" s="204">
        <f>SUM(C123:C125)</f>
        <v>114102.46</v>
      </c>
      <c r="E122" s="195"/>
    </row>
    <row r="123" spans="1:5" x14ac:dyDescent="0.25">
      <c r="A123" s="203"/>
      <c r="B123" s="174" t="s">
        <v>415</v>
      </c>
      <c r="C123" s="171">
        <f>SUM(C117)*0.27</f>
        <v>43200</v>
      </c>
      <c r="D123" s="199"/>
      <c r="E123" s="35"/>
    </row>
    <row r="124" spans="1:5" x14ac:dyDescent="0.25">
      <c r="A124" s="203"/>
      <c r="B124" s="174" t="s">
        <v>416</v>
      </c>
      <c r="C124" s="171">
        <f>SUM(C119)*0.27+1</f>
        <v>57402.460000000006</v>
      </c>
      <c r="D124" s="199"/>
      <c r="E124" s="35"/>
    </row>
    <row r="125" spans="1:5" x14ac:dyDescent="0.25">
      <c r="A125" s="203"/>
      <c r="B125" s="174" t="s">
        <v>417</v>
      </c>
      <c r="C125" s="171">
        <f>SUM(C121)*0.27</f>
        <v>13500</v>
      </c>
      <c r="D125" s="199"/>
      <c r="E125" s="35"/>
    </row>
    <row r="126" spans="1:5" ht="15.75" x14ac:dyDescent="0.25">
      <c r="A126" s="762" t="s">
        <v>333</v>
      </c>
      <c r="B126" s="607" t="s">
        <v>115</v>
      </c>
      <c r="C126" s="159"/>
      <c r="D126" s="259">
        <f>SUM(D116:D125)</f>
        <v>536700.46</v>
      </c>
    </row>
    <row r="127" spans="1:5" ht="15" customHeight="1" x14ac:dyDescent="0.25">
      <c r="A127" s="262"/>
      <c r="B127" s="160"/>
      <c r="C127" s="217"/>
      <c r="D127" s="200"/>
      <c r="E127" s="22"/>
    </row>
    <row r="128" spans="1:5" ht="15.75" x14ac:dyDescent="0.25">
      <c r="A128" s="762" t="s">
        <v>120</v>
      </c>
      <c r="B128" s="607" t="s">
        <v>233</v>
      </c>
      <c r="C128" s="159"/>
      <c r="D128" s="259">
        <v>0</v>
      </c>
    </row>
    <row r="129" spans="1:6" ht="15.75" thickBot="1" x14ac:dyDescent="0.3">
      <c r="A129" s="263"/>
      <c r="B129" s="258"/>
      <c r="C129" s="136"/>
      <c r="D129" s="260"/>
    </row>
    <row r="130" spans="1:6" s="194" customFormat="1" ht="18" thickBot="1" x14ac:dyDescent="0.35">
      <c r="A130" s="745" t="s">
        <v>503</v>
      </c>
      <c r="B130" s="746"/>
      <c r="C130" s="255">
        <f>SUM(C4:C129)</f>
        <v>19939851.460000001</v>
      </c>
      <c r="D130" s="256">
        <f>SUM(D128,D126,D115,D51,D42)</f>
        <v>19939851.460000001</v>
      </c>
      <c r="E130" s="774"/>
      <c r="F130" s="775"/>
    </row>
    <row r="135" spans="1:6" x14ac:dyDescent="0.25">
      <c r="C135" s="304">
        <f>SUM(C4:C129)</f>
        <v>19939851.460000001</v>
      </c>
    </row>
  </sheetData>
  <mergeCells count="22">
    <mergeCell ref="E84:F84"/>
    <mergeCell ref="F25:I25"/>
    <mergeCell ref="I52:J52"/>
    <mergeCell ref="G84:L84"/>
    <mergeCell ref="E87:F88"/>
    <mergeCell ref="G87:L88"/>
    <mergeCell ref="E130:F130"/>
    <mergeCell ref="A1:D1"/>
    <mergeCell ref="A128:B128"/>
    <mergeCell ref="A130:B130"/>
    <mergeCell ref="A2:D2"/>
    <mergeCell ref="B3:C3"/>
    <mergeCell ref="A42:B42"/>
    <mergeCell ref="A51:B51"/>
    <mergeCell ref="A115:B115"/>
    <mergeCell ref="A126:B126"/>
    <mergeCell ref="E45:G50"/>
    <mergeCell ref="F23:J24"/>
    <mergeCell ref="E68:F68"/>
    <mergeCell ref="G92:J92"/>
    <mergeCell ref="H45:K50"/>
    <mergeCell ref="G68:L68"/>
  </mergeCells>
  <phoneticPr fontId="37" type="noConversion"/>
  <printOptions horizontalCentered="1"/>
  <pageMargins left="0.39370078740157483" right="0.39370078740157483" top="1.1023622047244095" bottom="0.9055118110236221" header="0.31496062992125984" footer="0.31496062992125984"/>
  <pageSetup paperSize="9" scale="88" fitToHeight="0" orientation="portrait" r:id="rId1"/>
  <headerFooter>
    <oddHeader>&amp;C2023. évi költségvetés - tervezet 
Gyermeklánc Óvoda</oddHeader>
  </headerFooter>
  <rowBreaks count="2" manualBreakCount="2">
    <brk id="51" max="3" man="1"/>
    <brk id="98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L109"/>
  <sheetViews>
    <sheetView showRuler="0" view="pageBreakPreview" topLeftCell="A76" zoomScaleNormal="100" zoomScaleSheetLayoutView="100" workbookViewId="0">
      <selection activeCell="I36" sqref="I36"/>
    </sheetView>
  </sheetViews>
  <sheetFormatPr defaultRowHeight="15" x14ac:dyDescent="0.25"/>
  <cols>
    <col min="2" max="2" width="65.7109375" customWidth="1"/>
    <col min="3" max="3" width="19" customWidth="1"/>
    <col min="4" max="4" width="16.42578125" style="153" customWidth="1"/>
    <col min="7" max="7" width="13.7109375" bestFit="1" customWidth="1"/>
    <col min="9" max="9" width="11.5703125" bestFit="1" customWidth="1"/>
  </cols>
  <sheetData>
    <row r="1" spans="1:10" ht="18.75" x14ac:dyDescent="0.25">
      <c r="A1" s="732" t="s">
        <v>804</v>
      </c>
      <c r="B1" s="732"/>
      <c r="C1" s="732"/>
      <c r="D1" s="732"/>
    </row>
    <row r="2" spans="1:10" ht="19.5" thickBot="1" x14ac:dyDescent="0.3">
      <c r="A2" s="810"/>
      <c r="B2" s="810"/>
      <c r="C2" s="810"/>
      <c r="D2" s="810"/>
    </row>
    <row r="3" spans="1:10" ht="15.75" thickBot="1" x14ac:dyDescent="0.3">
      <c r="A3" s="241" t="s">
        <v>2</v>
      </c>
      <c r="B3" s="671" t="s">
        <v>3</v>
      </c>
      <c r="C3" s="672"/>
      <c r="D3" s="242" t="s">
        <v>287</v>
      </c>
    </row>
    <row r="4" spans="1:10" s="224" customFormat="1" ht="15" customHeight="1" x14ac:dyDescent="0.25">
      <c r="A4" s="243" t="s">
        <v>5</v>
      </c>
      <c r="B4" s="238" t="s">
        <v>364</v>
      </c>
      <c r="C4" s="239"/>
      <c r="D4" s="240">
        <f>SUM(C5:C21)</f>
        <v>9555456</v>
      </c>
    </row>
    <row r="5" spans="1:10" s="173" customFormat="1" x14ac:dyDescent="0.25">
      <c r="A5" s="244"/>
      <c r="B5" s="485" t="s">
        <v>374</v>
      </c>
      <c r="C5" s="233"/>
      <c r="D5" s="236"/>
    </row>
    <row r="6" spans="1:10" s="173" customFormat="1" x14ac:dyDescent="0.25">
      <c r="A6" s="244"/>
      <c r="B6" s="485" t="s">
        <v>608</v>
      </c>
      <c r="C6" s="209">
        <f>260000*2*1</f>
        <v>520000</v>
      </c>
      <c r="D6" s="236"/>
      <c r="I6" s="290"/>
    </row>
    <row r="7" spans="1:10" s="173" customFormat="1" ht="16.5" customHeight="1" x14ac:dyDescent="0.25">
      <c r="A7" s="244"/>
      <c r="B7" s="284" t="s">
        <v>609</v>
      </c>
      <c r="C7" s="209">
        <f>296400*2*11</f>
        <v>6520800</v>
      </c>
      <c r="D7" s="236"/>
      <c r="I7" s="290"/>
    </row>
    <row r="8" spans="1:10" s="173" customFormat="1" ht="22.5" customHeight="1" x14ac:dyDescent="0.25">
      <c r="A8" s="244"/>
      <c r="B8" s="284" t="s">
        <v>805</v>
      </c>
      <c r="C8" s="209"/>
      <c r="D8" s="236"/>
    </row>
    <row r="9" spans="1:10" s="173" customFormat="1" x14ac:dyDescent="0.25">
      <c r="A9" s="244"/>
      <c r="B9" s="284" t="s">
        <v>610</v>
      </c>
      <c r="C9" s="209">
        <v>20000</v>
      </c>
      <c r="D9" s="236"/>
    </row>
    <row r="10" spans="1:10" s="173" customFormat="1" x14ac:dyDescent="0.25">
      <c r="A10" s="244"/>
      <c r="B10" s="284" t="s">
        <v>611</v>
      </c>
      <c r="C10" s="209">
        <f>30000*11</f>
        <v>330000</v>
      </c>
      <c r="D10" s="236"/>
    </row>
    <row r="11" spans="1:10" s="173" customFormat="1" x14ac:dyDescent="0.25">
      <c r="A11" s="244"/>
      <c r="B11" s="284"/>
      <c r="C11" s="209"/>
      <c r="D11" s="209"/>
    </row>
    <row r="12" spans="1:10" s="173" customFormat="1" ht="18.75" customHeight="1" x14ac:dyDescent="0.25">
      <c r="A12" s="244"/>
      <c r="B12" s="446" t="s">
        <v>806</v>
      </c>
      <c r="C12" s="508"/>
      <c r="D12" s="236"/>
      <c r="F12" s="785"/>
      <c r="G12" s="786"/>
      <c r="H12" s="786"/>
      <c r="I12" s="786"/>
      <c r="J12" s="787"/>
    </row>
    <row r="13" spans="1:10" s="173" customFormat="1" x14ac:dyDescent="0.25">
      <c r="A13" s="244"/>
      <c r="B13" s="446" t="s">
        <v>775</v>
      </c>
      <c r="C13" s="508">
        <v>39000</v>
      </c>
      <c r="D13" s="236"/>
      <c r="F13" s="646"/>
      <c r="G13" s="632"/>
      <c r="H13" s="632"/>
      <c r="I13" s="632"/>
      <c r="J13" s="645"/>
    </row>
    <row r="14" spans="1:10" s="173" customFormat="1" x14ac:dyDescent="0.25">
      <c r="A14" s="244"/>
      <c r="B14" s="446"/>
      <c r="C14" s="508"/>
      <c r="D14" s="209"/>
      <c r="F14" s="646"/>
      <c r="G14" s="632"/>
      <c r="H14" s="632"/>
      <c r="I14" s="632"/>
      <c r="J14" s="645"/>
    </row>
    <row r="15" spans="1:10" s="173" customFormat="1" ht="18.75" customHeight="1" x14ac:dyDescent="0.25">
      <c r="A15" s="244"/>
      <c r="B15" s="446" t="s">
        <v>807</v>
      </c>
      <c r="C15" s="508"/>
      <c r="D15" s="236"/>
      <c r="F15" s="646"/>
      <c r="G15" s="632"/>
      <c r="H15" s="632"/>
      <c r="I15" s="632"/>
      <c r="J15" s="645"/>
    </row>
    <row r="16" spans="1:10" s="173" customFormat="1" x14ac:dyDescent="0.25">
      <c r="A16" s="244"/>
      <c r="B16" s="446" t="s">
        <v>775</v>
      </c>
      <c r="C16" s="508">
        <v>39000</v>
      </c>
      <c r="D16" s="236"/>
      <c r="F16" s="788"/>
      <c r="G16" s="789"/>
      <c r="H16" s="789"/>
      <c r="I16" s="789"/>
      <c r="J16" s="790"/>
    </row>
    <row r="17" spans="1:12" s="173" customFormat="1" x14ac:dyDescent="0.25">
      <c r="A17" s="244"/>
      <c r="B17" s="446"/>
      <c r="C17" s="508"/>
      <c r="D17" s="209"/>
    </row>
    <row r="18" spans="1:12" s="173" customFormat="1" ht="39" customHeight="1" x14ac:dyDescent="0.25">
      <c r="A18" s="244"/>
      <c r="B18" s="446" t="s">
        <v>808</v>
      </c>
      <c r="C18" s="508"/>
      <c r="D18" s="209"/>
      <c r="E18" s="798"/>
      <c r="F18" s="799"/>
      <c r="G18" s="799"/>
      <c r="H18" s="799"/>
      <c r="I18" s="799"/>
      <c r="J18" s="799"/>
      <c r="K18" s="800"/>
    </row>
    <row r="19" spans="1:12" s="173" customFormat="1" ht="25.5" customHeight="1" x14ac:dyDescent="0.25">
      <c r="A19" s="244"/>
      <c r="B19" s="284" t="s">
        <v>612</v>
      </c>
      <c r="C19" s="209">
        <f>94848*2*11</f>
        <v>2086656</v>
      </c>
      <c r="D19" s="209"/>
      <c r="E19" s="801"/>
      <c r="F19" s="802"/>
      <c r="G19" s="802"/>
      <c r="H19" s="802"/>
      <c r="I19" s="802"/>
      <c r="J19" s="802"/>
      <c r="K19" s="803"/>
      <c r="L19" s="395"/>
    </row>
    <row r="20" spans="1:12" s="173" customFormat="1" ht="18.75" customHeight="1" x14ac:dyDescent="0.25">
      <c r="A20" s="244"/>
      <c r="B20" s="414"/>
      <c r="C20" s="414"/>
      <c r="D20" s="209"/>
      <c r="E20" s="804"/>
      <c r="F20" s="805"/>
      <c r="G20" s="805"/>
      <c r="H20" s="805"/>
      <c r="I20" s="805"/>
      <c r="J20" s="805"/>
      <c r="K20" s="806"/>
      <c r="L20" s="395"/>
    </row>
    <row r="21" spans="1:12" s="173" customFormat="1" x14ac:dyDescent="0.25">
      <c r="A21" s="244"/>
      <c r="B21" s="310" t="s">
        <v>498</v>
      </c>
      <c r="C21" s="209">
        <v>0</v>
      </c>
      <c r="D21" s="236"/>
      <c r="E21" s="394"/>
      <c r="F21" s="395"/>
      <c r="J21" s="395"/>
      <c r="K21" s="395"/>
      <c r="L21" s="395"/>
    </row>
    <row r="22" spans="1:12" s="173" customFormat="1" x14ac:dyDescent="0.25">
      <c r="A22" s="244"/>
      <c r="B22" s="310"/>
      <c r="C22" s="209"/>
      <c r="D22" s="236"/>
      <c r="E22" s="395"/>
      <c r="F22" s="395"/>
      <c r="G22" s="410"/>
      <c r="H22" s="410"/>
      <c r="I22" s="410"/>
      <c r="J22" s="395"/>
      <c r="K22" s="395"/>
      <c r="L22" s="395"/>
    </row>
    <row r="23" spans="1:12" s="224" customFormat="1" ht="15" customHeight="1" x14ac:dyDescent="0.25">
      <c r="A23" s="220" t="s">
        <v>15</v>
      </c>
      <c r="B23" s="221" t="s">
        <v>365</v>
      </c>
      <c r="C23" s="228"/>
      <c r="D23" s="223">
        <f>SUM(C24)</f>
        <v>24000</v>
      </c>
    </row>
    <row r="24" spans="1:12" s="173" customFormat="1" x14ac:dyDescent="0.25">
      <c r="A24" s="244"/>
      <c r="B24" s="485" t="s">
        <v>373</v>
      </c>
      <c r="C24" s="209">
        <f>2*1000*12</f>
        <v>24000</v>
      </c>
      <c r="D24" s="236"/>
    </row>
    <row r="25" spans="1:12" s="173" customFormat="1" x14ac:dyDescent="0.25">
      <c r="A25" s="244"/>
      <c r="B25" s="485"/>
      <c r="C25" s="209"/>
      <c r="D25" s="236"/>
    </row>
    <row r="26" spans="1:12" s="585" customFormat="1" x14ac:dyDescent="0.25">
      <c r="A26" s="468" t="s">
        <v>18</v>
      </c>
      <c r="B26" s="376" t="s">
        <v>835</v>
      </c>
      <c r="C26" s="452"/>
      <c r="D26" s="460">
        <f>SUM(C27)</f>
        <v>90226</v>
      </c>
      <c r="F26" s="437"/>
      <c r="G26" s="437"/>
      <c r="H26" s="437"/>
      <c r="I26" s="437"/>
      <c r="J26" s="437"/>
      <c r="K26" s="437"/>
    </row>
    <row r="27" spans="1:12" s="302" customFormat="1" x14ac:dyDescent="0.25">
      <c r="A27" s="218"/>
      <c r="B27" s="469" t="s">
        <v>834</v>
      </c>
      <c r="C27" s="389">
        <v>90226</v>
      </c>
      <c r="D27" s="219"/>
      <c r="F27" s="438"/>
      <c r="G27" s="438"/>
      <c r="H27" s="438"/>
      <c r="I27" s="438"/>
      <c r="J27" s="438"/>
      <c r="K27" s="438"/>
    </row>
    <row r="28" spans="1:12" s="173" customFormat="1" x14ac:dyDescent="0.25">
      <c r="A28" s="244"/>
      <c r="B28" s="485"/>
      <c r="C28" s="209"/>
      <c r="D28" s="236"/>
    </row>
    <row r="29" spans="1:12" x14ac:dyDescent="0.25">
      <c r="A29" s="668" t="s">
        <v>23</v>
      </c>
      <c r="B29" s="614"/>
      <c r="C29" s="234"/>
      <c r="D29" s="200">
        <f>SUM(D4:D27)</f>
        <v>9669682</v>
      </c>
      <c r="E29" s="22"/>
      <c r="G29" s="332"/>
      <c r="I29" s="166"/>
    </row>
    <row r="30" spans="1:12" s="224" customFormat="1" ht="15" customHeight="1" x14ac:dyDescent="0.25">
      <c r="A30" s="220" t="s">
        <v>475</v>
      </c>
      <c r="B30" s="221" t="s">
        <v>366</v>
      </c>
      <c r="C30" s="228"/>
      <c r="D30" s="223">
        <v>1307059</v>
      </c>
      <c r="G30" s="289"/>
    </row>
    <row r="31" spans="1:12" s="585" customFormat="1" x14ac:dyDescent="0.25">
      <c r="A31" s="220"/>
      <c r="B31" s="221" t="s">
        <v>836</v>
      </c>
      <c r="C31" s="303">
        <v>11730</v>
      </c>
      <c r="D31" s="223"/>
      <c r="F31" s="586"/>
      <c r="G31" s="586"/>
      <c r="H31" s="586"/>
      <c r="I31" s="586"/>
      <c r="J31" s="586"/>
      <c r="K31" s="437"/>
    </row>
    <row r="32" spans="1:12" ht="15" customHeight="1" x14ac:dyDescent="0.25">
      <c r="A32" s="203"/>
      <c r="B32" s="154" t="s">
        <v>703</v>
      </c>
      <c r="C32" s="225">
        <f>SUM(C6,C9,C13,C16)*0.13</f>
        <v>80340</v>
      </c>
      <c r="D32" s="351"/>
      <c r="E32" s="811"/>
      <c r="F32" s="812"/>
      <c r="G32" s="812"/>
      <c r="H32" s="812"/>
      <c r="I32" s="812"/>
      <c r="J32" s="813"/>
    </row>
    <row r="33" spans="1:10" x14ac:dyDescent="0.25">
      <c r="A33" s="203"/>
      <c r="B33" s="154" t="s">
        <v>704</v>
      </c>
      <c r="C33" s="196">
        <f>SUM(C7,C10,C19,C21,C24)*0.13</f>
        <v>1164989.28</v>
      </c>
      <c r="D33" s="351"/>
      <c r="E33" s="814"/>
      <c r="F33" s="815"/>
      <c r="G33" s="815"/>
      <c r="H33" s="815"/>
      <c r="I33" s="815"/>
      <c r="J33" s="816"/>
    </row>
    <row r="34" spans="1:10" x14ac:dyDescent="0.25">
      <c r="A34" s="203"/>
      <c r="B34" s="154" t="s">
        <v>367</v>
      </c>
      <c r="C34" s="196">
        <v>0</v>
      </c>
      <c r="D34" s="351"/>
      <c r="E34" s="396"/>
      <c r="F34" s="396"/>
      <c r="G34" s="396"/>
    </row>
    <row r="35" spans="1:10" x14ac:dyDescent="0.25">
      <c r="A35" s="203"/>
      <c r="B35" s="154" t="s">
        <v>368</v>
      </c>
      <c r="C35" s="196">
        <v>50000</v>
      </c>
      <c r="D35" s="351"/>
      <c r="E35" s="396"/>
      <c r="F35" s="396"/>
      <c r="G35" s="407"/>
    </row>
    <row r="36" spans="1:10" x14ac:dyDescent="0.25">
      <c r="A36" s="668" t="s">
        <v>32</v>
      </c>
      <c r="B36" s="614"/>
      <c r="C36" s="234"/>
      <c r="D36" s="200">
        <f>SUM(D30:D35)</f>
        <v>1307059</v>
      </c>
      <c r="E36" s="22"/>
    </row>
    <row r="37" spans="1:10" x14ac:dyDescent="0.25">
      <c r="A37" s="245" t="s">
        <v>127</v>
      </c>
      <c r="B37" s="344" t="s">
        <v>128</v>
      </c>
      <c r="C37" s="212"/>
      <c r="D37" s="204">
        <f>SUM(C38:C39)</f>
        <v>17475</v>
      </c>
    </row>
    <row r="38" spans="1:10" x14ac:dyDescent="0.25">
      <c r="A38" s="246"/>
      <c r="B38" s="391" t="s">
        <v>515</v>
      </c>
      <c r="C38" s="171">
        <v>6000</v>
      </c>
      <c r="D38" s="199"/>
    </row>
    <row r="39" spans="1:10" x14ac:dyDescent="0.25">
      <c r="A39" s="246"/>
      <c r="B39" s="391" t="s">
        <v>514</v>
      </c>
      <c r="C39" s="171">
        <v>11475</v>
      </c>
      <c r="D39" s="199"/>
      <c r="E39" s="796"/>
      <c r="F39" s="797"/>
      <c r="H39" s="686"/>
      <c r="I39" s="688"/>
    </row>
    <row r="40" spans="1:10" x14ac:dyDescent="0.25">
      <c r="A40" s="245" t="s">
        <v>129</v>
      </c>
      <c r="B40" s="170" t="s">
        <v>130</v>
      </c>
      <c r="C40" s="229"/>
      <c r="D40" s="204">
        <f>SUM(C41:C47)</f>
        <v>295230</v>
      </c>
    </row>
    <row r="41" spans="1:10" ht="30" x14ac:dyDescent="0.25">
      <c r="A41" s="244"/>
      <c r="B41" s="284" t="s">
        <v>518</v>
      </c>
      <c r="C41" s="171">
        <f>317000-167000-11093-13677</f>
        <v>125230</v>
      </c>
      <c r="D41" s="199"/>
      <c r="G41" s="405"/>
    </row>
    <row r="42" spans="1:10" x14ac:dyDescent="0.25">
      <c r="A42" s="244"/>
      <c r="B42" s="284" t="s">
        <v>517</v>
      </c>
      <c r="C42" s="171">
        <v>50000</v>
      </c>
      <c r="D42" s="199"/>
    </row>
    <row r="43" spans="1:10" x14ac:dyDescent="0.25">
      <c r="A43" s="244"/>
      <c r="B43" s="284" t="s">
        <v>516</v>
      </c>
      <c r="C43" s="171">
        <v>50000</v>
      </c>
      <c r="D43" s="199"/>
    </row>
    <row r="44" spans="1:10" x14ac:dyDescent="0.25">
      <c r="A44" s="244"/>
      <c r="B44" s="284" t="s">
        <v>386</v>
      </c>
      <c r="C44" s="171">
        <f>50000-25000</f>
        <v>25000</v>
      </c>
      <c r="D44" s="199"/>
    </row>
    <row r="45" spans="1:10" x14ac:dyDescent="0.25">
      <c r="A45" s="244"/>
      <c r="B45" s="485" t="s">
        <v>584</v>
      </c>
      <c r="C45" s="171">
        <f>2*15000</f>
        <v>30000</v>
      </c>
      <c r="D45" s="199"/>
    </row>
    <row r="46" spans="1:10" x14ac:dyDescent="0.25">
      <c r="A46" s="244"/>
      <c r="B46" s="485" t="s">
        <v>484</v>
      </c>
      <c r="C46" s="171">
        <v>15000</v>
      </c>
      <c r="D46" s="199"/>
    </row>
    <row r="47" spans="1:10" x14ac:dyDescent="0.25">
      <c r="A47" s="244"/>
      <c r="B47" s="485" t="s">
        <v>375</v>
      </c>
      <c r="C47" s="171">
        <v>0</v>
      </c>
      <c r="D47" s="199"/>
    </row>
    <row r="48" spans="1:10" s="176" customFormat="1" x14ac:dyDescent="0.25">
      <c r="A48" s="206"/>
      <c r="B48" s="207" t="s">
        <v>344</v>
      </c>
      <c r="C48" s="230"/>
      <c r="D48" s="208">
        <f>SUM(D37:D47)</f>
        <v>312705</v>
      </c>
      <c r="E48" s="195"/>
    </row>
    <row r="49" spans="1:11" s="176" customFormat="1" x14ac:dyDescent="0.25">
      <c r="A49" s="245" t="s">
        <v>319</v>
      </c>
      <c r="B49" s="205" t="s">
        <v>320</v>
      </c>
      <c r="C49" s="231"/>
      <c r="D49" s="204">
        <f>SUM(C50:C51)</f>
        <v>120000</v>
      </c>
      <c r="E49" s="195"/>
    </row>
    <row r="50" spans="1:11" ht="33" customHeight="1" x14ac:dyDescent="0.25">
      <c r="A50" s="247"/>
      <c r="B50" s="485" t="s">
        <v>753</v>
      </c>
      <c r="C50" s="171">
        <f>2*5000*12</f>
        <v>120000</v>
      </c>
      <c r="D50" s="199"/>
      <c r="E50" s="350"/>
      <c r="F50" s="715"/>
      <c r="G50" s="716"/>
      <c r="H50" s="716"/>
      <c r="I50" s="716"/>
      <c r="J50" s="716"/>
      <c r="K50" s="717"/>
    </row>
    <row r="51" spans="1:11" x14ac:dyDescent="0.25">
      <c r="A51" s="244"/>
      <c r="B51" s="485" t="s">
        <v>607</v>
      </c>
      <c r="C51" s="171">
        <f>2*15000-30000</f>
        <v>0</v>
      </c>
      <c r="D51" s="199"/>
    </row>
    <row r="52" spans="1:11" s="176" customFormat="1" x14ac:dyDescent="0.25">
      <c r="A52" s="206" t="s">
        <v>273</v>
      </c>
      <c r="B52" s="221" t="s">
        <v>335</v>
      </c>
      <c r="C52" s="231"/>
      <c r="D52" s="204">
        <f>SUM(C53)</f>
        <v>0</v>
      </c>
      <c r="E52" s="195"/>
    </row>
    <row r="53" spans="1:11" x14ac:dyDescent="0.25">
      <c r="A53" s="203"/>
      <c r="B53" s="485" t="s">
        <v>376</v>
      </c>
      <c r="C53" s="171">
        <v>0</v>
      </c>
      <c r="D53" s="199"/>
      <c r="E53" s="35"/>
    </row>
    <row r="54" spans="1:11" s="176" customFormat="1" x14ac:dyDescent="0.25">
      <c r="A54" s="206"/>
      <c r="B54" s="207" t="s">
        <v>345</v>
      </c>
      <c r="C54" s="230"/>
      <c r="D54" s="208">
        <f>SUM(D49:D53)</f>
        <v>120000</v>
      </c>
      <c r="E54" s="195"/>
    </row>
    <row r="55" spans="1:11" s="176" customFormat="1" x14ac:dyDescent="0.25">
      <c r="A55" s="245" t="s">
        <v>336</v>
      </c>
      <c r="B55" s="221" t="s">
        <v>337</v>
      </c>
      <c r="C55" s="231"/>
      <c r="D55" s="204">
        <f>SUM(C56:C58)</f>
        <v>60000</v>
      </c>
      <c r="E55" s="195"/>
    </row>
    <row r="56" spans="1:11" x14ac:dyDescent="0.25">
      <c r="A56" s="203"/>
      <c r="B56" s="284" t="s">
        <v>70</v>
      </c>
      <c r="C56" s="171">
        <f>80000-40000-20000</f>
        <v>20000</v>
      </c>
      <c r="D56" s="199"/>
      <c r="E56" s="35"/>
    </row>
    <row r="57" spans="1:11" x14ac:dyDescent="0.25">
      <c r="A57" s="203"/>
      <c r="B57" s="284" t="s">
        <v>68</v>
      </c>
      <c r="C57" s="171">
        <f>100000-50000-25000</f>
        <v>25000</v>
      </c>
      <c r="D57" s="199"/>
      <c r="E57" s="35"/>
    </row>
    <row r="58" spans="1:11" x14ac:dyDescent="0.25">
      <c r="A58" s="203"/>
      <c r="B58" s="284" t="s">
        <v>72</v>
      </c>
      <c r="C58" s="171">
        <f>60000-30000-15000</f>
        <v>15000</v>
      </c>
      <c r="D58" s="199"/>
      <c r="E58" s="35"/>
    </row>
    <row r="59" spans="1:11" s="176" customFormat="1" x14ac:dyDescent="0.25">
      <c r="A59" s="245" t="s">
        <v>74</v>
      </c>
      <c r="B59" s="221" t="s">
        <v>331</v>
      </c>
      <c r="C59" s="231"/>
      <c r="D59" s="204">
        <f>SUM(C60)</f>
        <v>0</v>
      </c>
      <c r="E59" s="195"/>
    </row>
    <row r="60" spans="1:11" x14ac:dyDescent="0.25">
      <c r="A60" s="203"/>
      <c r="B60" s="284" t="s">
        <v>377</v>
      </c>
      <c r="C60" s="209">
        <v>0</v>
      </c>
      <c r="D60" s="199"/>
      <c r="E60" s="35"/>
    </row>
    <row r="61" spans="1:11" s="176" customFormat="1" x14ac:dyDescent="0.25">
      <c r="A61" s="245" t="s">
        <v>378</v>
      </c>
      <c r="B61" s="221" t="s">
        <v>379</v>
      </c>
      <c r="C61" s="231"/>
      <c r="D61" s="204">
        <f>SUM(C62)</f>
        <v>0</v>
      </c>
      <c r="E61" s="195"/>
    </row>
    <row r="62" spans="1:11" x14ac:dyDescent="0.25">
      <c r="A62" s="203"/>
      <c r="B62" s="284" t="s">
        <v>382</v>
      </c>
      <c r="C62" s="209">
        <v>0</v>
      </c>
      <c r="D62" s="199"/>
      <c r="E62" s="35"/>
    </row>
    <row r="63" spans="1:11" s="176" customFormat="1" x14ac:dyDescent="0.25">
      <c r="A63" s="245" t="s">
        <v>79</v>
      </c>
      <c r="B63" s="221" t="s">
        <v>380</v>
      </c>
      <c r="C63" s="231"/>
      <c r="D63" s="204">
        <f>SUM(C64)</f>
        <v>60000</v>
      </c>
      <c r="E63" s="195"/>
    </row>
    <row r="64" spans="1:11" x14ac:dyDescent="0.25">
      <c r="A64" s="203"/>
      <c r="B64" s="284" t="s">
        <v>381</v>
      </c>
      <c r="C64" s="171">
        <v>60000</v>
      </c>
      <c r="D64" s="199"/>
      <c r="E64" s="35"/>
    </row>
    <row r="65" spans="1:11" s="176" customFormat="1" x14ac:dyDescent="0.25">
      <c r="A65" s="245" t="s">
        <v>83</v>
      </c>
      <c r="B65" s="221" t="s">
        <v>338</v>
      </c>
      <c r="C65" s="231"/>
      <c r="D65" s="204">
        <f>SUM(C66:C67)</f>
        <v>7000</v>
      </c>
      <c r="E65" s="195"/>
    </row>
    <row r="66" spans="1:11" x14ac:dyDescent="0.25">
      <c r="A66" s="203"/>
      <c r="B66" s="284" t="s">
        <v>590</v>
      </c>
      <c r="C66" s="171">
        <f>2*3500</f>
        <v>7000</v>
      </c>
      <c r="D66" s="199"/>
      <c r="E66" s="392"/>
      <c r="F66" s="286"/>
      <c r="G66" s="755"/>
      <c r="H66" s="756"/>
      <c r="I66" s="756"/>
      <c r="J66" s="756"/>
      <c r="K66" s="757"/>
    </row>
    <row r="67" spans="1:11" x14ac:dyDescent="0.25">
      <c r="A67" s="203"/>
      <c r="B67" s="284" t="s">
        <v>383</v>
      </c>
      <c r="C67" s="171">
        <f>26000-26000</f>
        <v>0</v>
      </c>
      <c r="D67" s="351"/>
      <c r="E67" s="756"/>
      <c r="F67" s="756"/>
      <c r="G67" s="756"/>
      <c r="H67" s="756"/>
      <c r="I67" s="757"/>
    </row>
    <row r="68" spans="1:11" s="176" customFormat="1" x14ac:dyDescent="0.25">
      <c r="A68" s="245" t="s">
        <v>86</v>
      </c>
      <c r="B68" s="221" t="s">
        <v>340</v>
      </c>
      <c r="C68" s="231"/>
      <c r="D68" s="204">
        <f>SUM(C69:C72)</f>
        <v>75000</v>
      </c>
      <c r="E68" s="195"/>
    </row>
    <row r="69" spans="1:11" x14ac:dyDescent="0.25">
      <c r="A69" s="203"/>
      <c r="B69" s="284" t="s">
        <v>384</v>
      </c>
      <c r="C69" s="171">
        <v>10000</v>
      </c>
      <c r="D69" s="199"/>
      <c r="E69" s="35"/>
    </row>
    <row r="70" spans="1:11" x14ac:dyDescent="0.25">
      <c r="A70" s="203"/>
      <c r="B70" s="284" t="s">
        <v>87</v>
      </c>
      <c r="C70" s="171">
        <f>15000</f>
        <v>15000</v>
      </c>
      <c r="D70" s="199"/>
      <c r="E70" s="35"/>
    </row>
    <row r="71" spans="1:11" ht="29.25" customHeight="1" x14ac:dyDescent="0.25">
      <c r="A71" s="203"/>
      <c r="B71" s="284" t="s">
        <v>272</v>
      </c>
      <c r="C71" s="171">
        <v>40000</v>
      </c>
      <c r="D71" s="351"/>
      <c r="E71" s="807"/>
      <c r="F71" s="808"/>
      <c r="G71" s="808"/>
      <c r="H71" s="808"/>
      <c r="I71" s="808"/>
      <c r="J71" s="808"/>
      <c r="K71" s="809"/>
    </row>
    <row r="72" spans="1:11" x14ac:dyDescent="0.25">
      <c r="A72" s="203"/>
      <c r="B72" s="284" t="s">
        <v>282</v>
      </c>
      <c r="C72" s="171">
        <v>10000</v>
      </c>
      <c r="D72" s="199"/>
      <c r="E72" s="35"/>
      <c r="F72" s="751"/>
      <c r="G72" s="751"/>
      <c r="H72" s="751"/>
      <c r="I72" s="751"/>
    </row>
    <row r="73" spans="1:11" s="176" customFormat="1" x14ac:dyDescent="0.25">
      <c r="A73" s="206"/>
      <c r="B73" s="207" t="s">
        <v>346</v>
      </c>
      <c r="C73" s="230"/>
      <c r="D73" s="208">
        <f>SUM(D55:D72)</f>
        <v>202000</v>
      </c>
      <c r="E73" s="195"/>
    </row>
    <row r="74" spans="1:11" s="176" customFormat="1" x14ac:dyDescent="0.25">
      <c r="A74" s="245" t="s">
        <v>103</v>
      </c>
      <c r="B74" s="205" t="s">
        <v>341</v>
      </c>
      <c r="C74" s="231"/>
      <c r="D74" s="204">
        <f>SUM(C75)</f>
        <v>0</v>
      </c>
      <c r="E74" s="195"/>
    </row>
    <row r="75" spans="1:11" ht="30" x14ac:dyDescent="0.25">
      <c r="A75" s="203"/>
      <c r="B75" s="284" t="s">
        <v>385</v>
      </c>
      <c r="C75" s="171">
        <f>25000-25000</f>
        <v>0</v>
      </c>
      <c r="D75" s="199"/>
      <c r="E75" s="35"/>
    </row>
    <row r="76" spans="1:11" s="176" customFormat="1" x14ac:dyDescent="0.25">
      <c r="A76" s="245" t="s">
        <v>342</v>
      </c>
      <c r="B76" s="205" t="s">
        <v>357</v>
      </c>
      <c r="C76" s="231"/>
      <c r="D76" s="204">
        <v>0</v>
      </c>
      <c r="E76" s="195"/>
    </row>
    <row r="77" spans="1:11" s="176" customFormat="1" x14ac:dyDescent="0.25">
      <c r="A77" s="206"/>
      <c r="B77" s="207" t="s">
        <v>360</v>
      </c>
      <c r="C77" s="213"/>
      <c r="D77" s="208">
        <f>SUM(D74:D76)</f>
        <v>0</v>
      </c>
      <c r="E77" s="195"/>
    </row>
    <row r="78" spans="1:11" s="176" customFormat="1" x14ac:dyDescent="0.25">
      <c r="A78" s="245" t="s">
        <v>38</v>
      </c>
      <c r="B78" s="205" t="s">
        <v>343</v>
      </c>
      <c r="C78" s="214"/>
      <c r="D78" s="204">
        <f>120260+1</f>
        <v>120261</v>
      </c>
      <c r="E78" s="195"/>
      <c r="G78" s="330"/>
      <c r="I78" s="817"/>
      <c r="J78" s="817"/>
      <c r="K78" s="817"/>
    </row>
    <row r="79" spans="1:11" x14ac:dyDescent="0.25">
      <c r="A79" s="203"/>
      <c r="B79" s="174" t="s">
        <v>350</v>
      </c>
      <c r="C79" s="215">
        <f>SUM(C38)*0.05</f>
        <v>300</v>
      </c>
      <c r="D79" s="199"/>
      <c r="E79" s="35"/>
    </row>
    <row r="80" spans="1:11" x14ac:dyDescent="0.25">
      <c r="A80" s="203"/>
      <c r="B80" s="174" t="s">
        <v>353</v>
      </c>
      <c r="C80" s="215">
        <f>SUM(C39:C39)*0.27</f>
        <v>3098.25</v>
      </c>
      <c r="D80" s="199"/>
      <c r="E80" s="35"/>
    </row>
    <row r="81" spans="1:5" x14ac:dyDescent="0.25">
      <c r="A81" s="203"/>
      <c r="B81" s="174" t="s">
        <v>354</v>
      </c>
      <c r="C81" s="215">
        <f>SUM(C44:C47,C41)*0.27</f>
        <v>52712.100000000006</v>
      </c>
      <c r="D81" s="199"/>
      <c r="E81" s="35"/>
    </row>
    <row r="82" spans="1:5" x14ac:dyDescent="0.25">
      <c r="A82" s="203"/>
      <c r="B82" s="174" t="s">
        <v>512</v>
      </c>
      <c r="C82" s="215">
        <f>SUM(C42)*0.18</f>
        <v>9000</v>
      </c>
      <c r="D82" s="199"/>
      <c r="E82" s="35"/>
    </row>
    <row r="83" spans="1:5" x14ac:dyDescent="0.25">
      <c r="A83" s="203"/>
      <c r="B83" s="174" t="s">
        <v>513</v>
      </c>
      <c r="C83" s="215">
        <f>SUM(C43)*0.05</f>
        <v>2500</v>
      </c>
      <c r="D83" s="199"/>
      <c r="E83" s="35"/>
    </row>
    <row r="84" spans="1:5" x14ac:dyDescent="0.25">
      <c r="A84" s="203"/>
      <c r="B84" s="174" t="s">
        <v>370</v>
      </c>
      <c r="C84" s="215">
        <f>SUM(C51)*0.27</f>
        <v>0</v>
      </c>
      <c r="D84" s="199"/>
      <c r="E84" s="35"/>
    </row>
    <row r="85" spans="1:5" x14ac:dyDescent="0.25">
      <c r="A85" s="203"/>
      <c r="B85" s="174" t="s">
        <v>355</v>
      </c>
      <c r="C85" s="215">
        <f>SUM(C53)*0.27</f>
        <v>0</v>
      </c>
      <c r="D85" s="199"/>
      <c r="E85" s="35"/>
    </row>
    <row r="86" spans="1:5" x14ac:dyDescent="0.25">
      <c r="A86" s="203"/>
      <c r="B86" s="174" t="s">
        <v>371</v>
      </c>
      <c r="C86" s="215">
        <f>SUM(C56:C58)*0.27</f>
        <v>16200.000000000002</v>
      </c>
      <c r="D86" s="199"/>
      <c r="E86" s="35"/>
    </row>
    <row r="87" spans="1:5" x14ac:dyDescent="0.25">
      <c r="A87" s="203"/>
      <c r="B87" s="174" t="s">
        <v>387</v>
      </c>
      <c r="C87" s="215">
        <f>SUM(C60)*0.27</f>
        <v>0</v>
      </c>
      <c r="D87" s="199"/>
      <c r="E87" s="35"/>
    </row>
    <row r="88" spans="1:5" x14ac:dyDescent="0.25">
      <c r="A88" s="203"/>
      <c r="B88" s="174" t="s">
        <v>388</v>
      </c>
      <c r="C88" s="215">
        <f>SUM(C62)*0.27</f>
        <v>0</v>
      </c>
      <c r="D88" s="199"/>
      <c r="E88" s="35"/>
    </row>
    <row r="89" spans="1:5" x14ac:dyDescent="0.25">
      <c r="A89" s="203"/>
      <c r="B89" s="174" t="s">
        <v>389</v>
      </c>
      <c r="C89" s="215">
        <f>SUM(C64)*0.27</f>
        <v>16200.000000000002</v>
      </c>
      <c r="D89" s="199"/>
      <c r="E89" s="35"/>
    </row>
    <row r="90" spans="1:5" x14ac:dyDescent="0.25">
      <c r="A90" s="203"/>
      <c r="B90" s="174" t="s">
        <v>372</v>
      </c>
      <c r="C90" s="215">
        <f>SUM(C69:C72)*0.27</f>
        <v>20250</v>
      </c>
      <c r="D90" s="199"/>
      <c r="E90" s="35"/>
    </row>
    <row r="91" spans="1:5" s="176" customFormat="1" x14ac:dyDescent="0.25">
      <c r="A91" s="245" t="s">
        <v>107</v>
      </c>
      <c r="B91" s="205" t="s">
        <v>348</v>
      </c>
      <c r="C91" s="214"/>
      <c r="D91" s="204">
        <f>SUM(C92)</f>
        <v>1000</v>
      </c>
      <c r="E91" s="195"/>
    </row>
    <row r="92" spans="1:5" ht="30" x14ac:dyDescent="0.25">
      <c r="A92" s="203"/>
      <c r="B92" s="174" t="s">
        <v>349</v>
      </c>
      <c r="C92" s="171">
        <v>1000</v>
      </c>
      <c r="D92" s="199"/>
      <c r="E92" s="35"/>
    </row>
    <row r="93" spans="1:5" s="176" customFormat="1" x14ac:dyDescent="0.25">
      <c r="A93" s="206"/>
      <c r="B93" s="207" t="s">
        <v>347</v>
      </c>
      <c r="C93" s="213"/>
      <c r="D93" s="208">
        <f>SUM(D78:D92)</f>
        <v>121261</v>
      </c>
      <c r="E93" s="195"/>
    </row>
    <row r="94" spans="1:5" x14ac:dyDescent="0.25">
      <c r="A94" s="668" t="s">
        <v>110</v>
      </c>
      <c r="B94" s="614"/>
      <c r="C94" s="234"/>
      <c r="D94" s="200">
        <f>SUM(D93,D77,D73,D54,D48)</f>
        <v>755966</v>
      </c>
      <c r="E94" s="22"/>
    </row>
    <row r="95" spans="1:5" s="176" customFormat="1" x14ac:dyDescent="0.25">
      <c r="A95" s="245" t="s">
        <v>111</v>
      </c>
      <c r="B95" s="205" t="s">
        <v>205</v>
      </c>
      <c r="C95" s="214"/>
      <c r="D95" s="204">
        <f>SUM(C96:C97)</f>
        <v>0</v>
      </c>
      <c r="E95" s="195"/>
    </row>
    <row r="96" spans="1:5" x14ac:dyDescent="0.25">
      <c r="A96" s="203"/>
      <c r="B96" s="174"/>
      <c r="C96" s="171">
        <v>0</v>
      </c>
      <c r="D96" s="199"/>
      <c r="E96" s="35"/>
    </row>
    <row r="97" spans="1:9" x14ac:dyDescent="0.25">
      <c r="A97" s="203"/>
      <c r="B97" s="174"/>
      <c r="C97" s="171"/>
      <c r="D97" s="199"/>
      <c r="E97" s="35"/>
    </row>
    <row r="98" spans="1:9" s="176" customFormat="1" x14ac:dyDescent="0.25">
      <c r="A98" s="245" t="s">
        <v>113</v>
      </c>
      <c r="B98" s="205" t="s">
        <v>114</v>
      </c>
      <c r="C98" s="231"/>
      <c r="D98" s="204">
        <f>SUM(C99:C100)</f>
        <v>0</v>
      </c>
      <c r="E98" s="195"/>
    </row>
    <row r="99" spans="1:9" x14ac:dyDescent="0.25">
      <c r="A99" s="203"/>
      <c r="B99" s="174"/>
      <c r="C99" s="171">
        <f>SUM(C96)*0.27</f>
        <v>0</v>
      </c>
      <c r="D99" s="199"/>
      <c r="E99" s="35"/>
    </row>
    <row r="100" spans="1:9" x14ac:dyDescent="0.25">
      <c r="A100" s="203"/>
      <c r="B100" s="174"/>
      <c r="C100" s="215"/>
      <c r="D100" s="199"/>
      <c r="E100" s="35"/>
    </row>
    <row r="101" spans="1:9" x14ac:dyDescent="0.25">
      <c r="A101" s="668" t="s">
        <v>333</v>
      </c>
      <c r="B101" s="614" t="s">
        <v>115</v>
      </c>
      <c r="C101" s="345">
        <f>SUM(C99,C96)</f>
        <v>0</v>
      </c>
      <c r="D101" s="200">
        <f>SUM(D95:D100)</f>
        <v>0</v>
      </c>
      <c r="E101" s="22"/>
    </row>
    <row r="102" spans="1:9" s="176" customFormat="1" x14ac:dyDescent="0.25">
      <c r="A102" s="245"/>
      <c r="B102" s="205"/>
      <c r="C102" s="231"/>
      <c r="D102" s="204"/>
      <c r="E102" s="195"/>
    </row>
    <row r="103" spans="1:9" x14ac:dyDescent="0.25">
      <c r="A103" s="203"/>
      <c r="B103" s="174"/>
      <c r="C103" s="171"/>
      <c r="D103" s="199"/>
      <c r="E103" s="35"/>
    </row>
    <row r="104" spans="1:9" ht="15" customHeight="1" thickBot="1" x14ac:dyDescent="0.3">
      <c r="A104" s="792" t="s">
        <v>120</v>
      </c>
      <c r="B104" s="793" t="s">
        <v>233</v>
      </c>
      <c r="C104" s="346">
        <v>0</v>
      </c>
      <c r="D104" s="202">
        <v>0</v>
      </c>
      <c r="E104" s="22"/>
    </row>
    <row r="105" spans="1:9" s="194" customFormat="1" ht="18" thickBot="1" x14ac:dyDescent="0.35">
      <c r="A105" s="794" t="s">
        <v>144</v>
      </c>
      <c r="B105" s="795"/>
      <c r="C105" s="347">
        <f>SUM(C4:C104)</f>
        <v>11732706.629999999</v>
      </c>
      <c r="D105" s="235">
        <f>SUM(D104,D101,D94,D36,D29)</f>
        <v>11732707</v>
      </c>
      <c r="E105" s="348"/>
      <c r="F105" s="193"/>
      <c r="G105" s="193"/>
    </row>
    <row r="106" spans="1:9" ht="18.75" x14ac:dyDescent="0.3">
      <c r="A106" s="79"/>
      <c r="B106" s="79"/>
      <c r="C106" s="79"/>
      <c r="D106" s="232"/>
      <c r="E106" s="818"/>
      <c r="F106" s="818"/>
      <c r="G106" s="818"/>
    </row>
    <row r="107" spans="1:9" s="176" customFormat="1" ht="15.75" x14ac:dyDescent="0.25">
      <c r="B107" s="180" t="s">
        <v>705</v>
      </c>
      <c r="C107" s="329">
        <v>9228840</v>
      </c>
      <c r="D107" s="328"/>
      <c r="E107" s="686"/>
      <c r="F107" s="687"/>
      <c r="G107" s="687"/>
      <c r="H107" s="687"/>
      <c r="I107" s="688"/>
    </row>
    <row r="108" spans="1:9" x14ac:dyDescent="0.25">
      <c r="B108" t="s">
        <v>706</v>
      </c>
    </row>
    <row r="109" spans="1:9" x14ac:dyDescent="0.25">
      <c r="G109" s="405"/>
    </row>
  </sheetData>
  <mergeCells count="22">
    <mergeCell ref="E107:I107"/>
    <mergeCell ref="F50:K50"/>
    <mergeCell ref="E32:J33"/>
    <mergeCell ref="I78:K78"/>
    <mergeCell ref="H39:I39"/>
    <mergeCell ref="F72:I72"/>
    <mergeCell ref="E106:G106"/>
    <mergeCell ref="A1:D1"/>
    <mergeCell ref="A2:D2"/>
    <mergeCell ref="B3:C3"/>
    <mergeCell ref="A29:B29"/>
    <mergeCell ref="A36:B36"/>
    <mergeCell ref="F12:J16"/>
    <mergeCell ref="A101:B101"/>
    <mergeCell ref="A104:B104"/>
    <mergeCell ref="A105:B105"/>
    <mergeCell ref="A94:B94"/>
    <mergeCell ref="E39:F39"/>
    <mergeCell ref="E18:K20"/>
    <mergeCell ref="E67:I67"/>
    <mergeCell ref="E71:K71"/>
    <mergeCell ref="G66:K66"/>
  </mergeCells>
  <printOptions horizontalCentered="1"/>
  <pageMargins left="0.39370078740157483" right="0.39370078740157483" top="0.9055118110236221" bottom="0.9055118110236221" header="0.31496062992125984" footer="0.31496062992125984"/>
  <pageSetup paperSize="9" scale="86" fitToHeight="0" orientation="portrait" r:id="rId1"/>
  <headerFooter>
    <oddHeader>&amp;C2023. évi költségvetés - tervezet 
Gyermeklánc Óvoda</oddHeader>
  </headerFooter>
  <rowBreaks count="1" manualBreakCount="1">
    <brk id="64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I25"/>
  <sheetViews>
    <sheetView view="pageBreakPreview" zoomScaleNormal="100" zoomScaleSheetLayoutView="100" workbookViewId="0">
      <selection activeCell="H21" sqref="H21"/>
    </sheetView>
  </sheetViews>
  <sheetFormatPr defaultRowHeight="15" x14ac:dyDescent="0.25"/>
  <cols>
    <col min="2" max="2" width="55.5703125" customWidth="1"/>
    <col min="3" max="3" width="17.5703125" customWidth="1"/>
    <col min="4" max="4" width="15.85546875" customWidth="1"/>
    <col min="8" max="8" width="13.7109375" bestFit="1" customWidth="1"/>
  </cols>
  <sheetData>
    <row r="1" spans="1:9" ht="18.75" x14ac:dyDescent="0.25">
      <c r="A1" s="732" t="s">
        <v>541</v>
      </c>
      <c r="B1" s="732"/>
      <c r="C1" s="732"/>
      <c r="D1" s="732"/>
    </row>
    <row r="2" spans="1:9" ht="36" customHeight="1" x14ac:dyDescent="0.25">
      <c r="A2" s="821" t="s">
        <v>525</v>
      </c>
      <c r="B2" s="821" t="s">
        <v>494</v>
      </c>
      <c r="C2" s="821"/>
      <c r="D2" s="821"/>
      <c r="E2" s="320"/>
      <c r="F2" s="320"/>
      <c r="G2" s="320"/>
      <c r="H2" s="320"/>
      <c r="I2" s="320"/>
    </row>
    <row r="3" spans="1:9" ht="14.45" customHeight="1" x14ac:dyDescent="0.25">
      <c r="E3" s="319"/>
      <c r="F3" s="319"/>
      <c r="G3" s="319"/>
      <c r="H3" s="319"/>
      <c r="I3" s="319"/>
    </row>
    <row r="4" spans="1:9" ht="14.45" customHeight="1" x14ac:dyDescent="0.25">
      <c r="B4" s="822" t="s">
        <v>781</v>
      </c>
      <c r="C4" s="822"/>
      <c r="D4" s="822"/>
      <c r="E4" s="319"/>
      <c r="F4" s="319"/>
      <c r="G4" s="319"/>
      <c r="H4" s="319"/>
      <c r="I4" s="319"/>
    </row>
    <row r="5" spans="1:9" ht="14.45" customHeight="1" x14ac:dyDescent="0.25">
      <c r="B5" s="727" t="s">
        <v>702</v>
      </c>
      <c r="C5" s="727"/>
      <c r="D5" s="727"/>
      <c r="E5" s="319"/>
      <c r="F5" s="319"/>
      <c r="G5" s="319"/>
      <c r="H5" s="319"/>
      <c r="I5" s="319"/>
    </row>
    <row r="6" spans="1:9" ht="22.5" customHeight="1" thickBot="1" x14ac:dyDescent="0.3">
      <c r="A6" s="177"/>
      <c r="B6" s="177"/>
      <c r="C6" s="177"/>
      <c r="D6" s="177"/>
    </row>
    <row r="7" spans="1:9" ht="32.25" customHeight="1" thickBot="1" x14ac:dyDescent="0.3">
      <c r="A7" s="241" t="s">
        <v>2</v>
      </c>
      <c r="B7" s="671" t="s">
        <v>3</v>
      </c>
      <c r="C7" s="672"/>
      <c r="D7" s="242" t="s">
        <v>287</v>
      </c>
    </row>
    <row r="8" spans="1:9" x14ac:dyDescent="0.25">
      <c r="A8" s="251" t="s">
        <v>392</v>
      </c>
      <c r="B8" s="248" t="s">
        <v>393</v>
      </c>
      <c r="C8" s="249"/>
      <c r="D8" s="250">
        <f>SUM(C9:C10)</f>
        <v>0</v>
      </c>
      <c r="H8" s="304"/>
    </row>
    <row r="9" spans="1:9" x14ac:dyDescent="0.25">
      <c r="A9" s="254"/>
      <c r="B9" s="165"/>
      <c r="C9" s="318"/>
      <c r="D9" s="199"/>
    </row>
    <row r="10" spans="1:9" x14ac:dyDescent="0.25">
      <c r="A10" s="254"/>
      <c r="B10" s="165"/>
      <c r="C10" s="318"/>
      <c r="D10" s="199"/>
    </row>
    <row r="11" spans="1:9" x14ac:dyDescent="0.25">
      <c r="A11" s="668" t="s">
        <v>453</v>
      </c>
      <c r="B11" s="614"/>
      <c r="C11" s="316"/>
      <c r="D11" s="200">
        <f>SUM(D8:D10)</f>
        <v>0</v>
      </c>
    </row>
    <row r="12" spans="1:9" x14ac:dyDescent="0.25">
      <c r="A12" s="220" t="s">
        <v>475</v>
      </c>
      <c r="B12" s="221" t="s">
        <v>366</v>
      </c>
      <c r="C12" s="222"/>
      <c r="D12" s="223">
        <f>SUM(C13:C14)</f>
        <v>0</v>
      </c>
      <c r="H12" s="304"/>
    </row>
    <row r="13" spans="1:9" x14ac:dyDescent="0.25">
      <c r="A13" s="220"/>
      <c r="B13" s="175" t="s">
        <v>523</v>
      </c>
      <c r="C13" s="215">
        <f>SUM(C9)*0.13</f>
        <v>0</v>
      </c>
      <c r="D13" s="223"/>
      <c r="F13" s="785"/>
      <c r="G13" s="786"/>
      <c r="H13" s="786"/>
      <c r="I13" s="787"/>
    </row>
    <row r="14" spans="1:9" ht="22.5" customHeight="1" x14ac:dyDescent="0.25">
      <c r="A14" s="244"/>
      <c r="B14" s="175" t="s">
        <v>523</v>
      </c>
      <c r="C14" s="215">
        <f>SUM(C10)*0.13</f>
        <v>0</v>
      </c>
      <c r="D14" s="236"/>
      <c r="F14" s="788"/>
      <c r="G14" s="789"/>
      <c r="H14" s="789"/>
      <c r="I14" s="790"/>
    </row>
    <row r="15" spans="1:9" x14ac:dyDescent="0.25">
      <c r="A15" s="668" t="s">
        <v>454</v>
      </c>
      <c r="B15" s="614"/>
      <c r="C15" s="316"/>
      <c r="D15" s="200">
        <f>SUM(D12:D14)</f>
        <v>0</v>
      </c>
      <c r="E15" s="22"/>
    </row>
    <row r="16" spans="1:9" x14ac:dyDescent="0.25">
      <c r="A16" s="254"/>
      <c r="B16" s="165"/>
      <c r="C16" s="318"/>
      <c r="D16" s="199"/>
    </row>
    <row r="17" spans="1:8" x14ac:dyDescent="0.25">
      <c r="A17" s="254"/>
      <c r="B17" s="165"/>
      <c r="C17" s="318"/>
      <c r="D17" s="199"/>
      <c r="H17" s="405"/>
    </row>
    <row r="18" spans="1:8" x14ac:dyDescent="0.25">
      <c r="A18" s="668" t="s">
        <v>110</v>
      </c>
      <c r="B18" s="614"/>
      <c r="C18" s="316"/>
      <c r="D18" s="200">
        <v>0</v>
      </c>
      <c r="E18" s="22"/>
    </row>
    <row r="19" spans="1:8" x14ac:dyDescent="0.25">
      <c r="A19" s="220" t="s">
        <v>544</v>
      </c>
      <c r="B19" s="221" t="s">
        <v>545</v>
      </c>
      <c r="C19" s="222"/>
      <c r="D19" s="223"/>
      <c r="H19" s="304"/>
    </row>
    <row r="20" spans="1:8" x14ac:dyDescent="0.25">
      <c r="A20" s="253"/>
      <c r="B20" s="154" t="s">
        <v>527</v>
      </c>
      <c r="C20" s="393">
        <v>3720988</v>
      </c>
      <c r="D20" s="199"/>
    </row>
    <row r="21" spans="1:8" x14ac:dyDescent="0.25">
      <c r="A21" s="294"/>
      <c r="B21" s="158"/>
      <c r="C21" s="316"/>
      <c r="D21" s="200"/>
      <c r="E21" s="22"/>
    </row>
    <row r="22" spans="1:8" x14ac:dyDescent="0.25">
      <c r="A22" s="668" t="s">
        <v>543</v>
      </c>
      <c r="B22" s="614"/>
      <c r="C22" s="316"/>
      <c r="D22" s="200">
        <f>SUM(C20)</f>
        <v>3720988</v>
      </c>
      <c r="E22" s="22"/>
    </row>
    <row r="23" spans="1:8" x14ac:dyDescent="0.25">
      <c r="A23" s="254"/>
      <c r="B23" s="165"/>
      <c r="C23" s="318"/>
      <c r="D23" s="199"/>
    </row>
    <row r="24" spans="1:8" ht="15.75" thickBot="1" x14ac:dyDescent="0.3">
      <c r="A24" s="668" t="s">
        <v>333</v>
      </c>
      <c r="B24" s="614" t="s">
        <v>115</v>
      </c>
      <c r="C24" s="234"/>
      <c r="D24" s="200">
        <f>SUM(D23)</f>
        <v>0</v>
      </c>
    </row>
    <row r="25" spans="1:8" ht="18" thickBot="1" x14ac:dyDescent="0.35">
      <c r="A25" s="819" t="s">
        <v>530</v>
      </c>
      <c r="B25" s="820"/>
      <c r="C25" s="379">
        <f>SUM(C9:C24)</f>
        <v>3720988</v>
      </c>
      <c r="D25" s="235">
        <f>SUM(D11,D15,D18,D22,D24)</f>
        <v>3720988</v>
      </c>
    </row>
  </sheetData>
  <mergeCells count="12">
    <mergeCell ref="F13:I14"/>
    <mergeCell ref="A1:D1"/>
    <mergeCell ref="A22:B22"/>
    <mergeCell ref="A18:B18"/>
    <mergeCell ref="A24:B24"/>
    <mergeCell ref="A25:B25"/>
    <mergeCell ref="A2:D2"/>
    <mergeCell ref="B4:D4"/>
    <mergeCell ref="B5:D5"/>
    <mergeCell ref="B7:C7"/>
    <mergeCell ref="A11:B11"/>
    <mergeCell ref="A15:B15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headerFooter>
    <oddHeader>&amp;C2023. évi költségvetés - tervezet 
Gyermeklánc Óvoda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L28"/>
  <sheetViews>
    <sheetView view="pageBreakPreview" topLeftCell="A7" zoomScaleNormal="100" zoomScaleSheetLayoutView="100" workbookViewId="0">
      <selection activeCell="F21" sqref="F21"/>
    </sheetView>
  </sheetViews>
  <sheetFormatPr defaultRowHeight="15" x14ac:dyDescent="0.25"/>
  <cols>
    <col min="2" max="2" width="55.5703125" customWidth="1"/>
    <col min="3" max="3" width="17.5703125" customWidth="1"/>
    <col min="4" max="4" width="15.85546875" customWidth="1"/>
    <col min="6" max="6" width="12.140625" bestFit="1" customWidth="1"/>
    <col min="8" max="8" width="13.7109375" bestFit="1" customWidth="1"/>
  </cols>
  <sheetData>
    <row r="1" spans="1:12" ht="18.75" x14ac:dyDescent="0.25">
      <c r="A1" s="732" t="s">
        <v>779</v>
      </c>
      <c r="B1" s="732"/>
      <c r="C1" s="732"/>
      <c r="D1" s="732"/>
    </row>
    <row r="3" spans="1:12" s="163" customFormat="1" ht="23.25" customHeight="1" x14ac:dyDescent="0.25">
      <c r="A3" s="823" t="s">
        <v>526</v>
      </c>
      <c r="B3" s="823" t="s">
        <v>494</v>
      </c>
      <c r="C3" s="823"/>
      <c r="D3" s="823"/>
      <c r="E3" s="342"/>
      <c r="F3" s="342"/>
      <c r="G3" s="342"/>
      <c r="H3" s="342"/>
      <c r="I3" s="342"/>
    </row>
    <row r="4" spans="1:12" s="163" customFormat="1" ht="14.45" customHeight="1" x14ac:dyDescent="0.25">
      <c r="E4" s="343"/>
      <c r="F4" s="343"/>
      <c r="G4" s="343"/>
      <c r="H4" s="343"/>
      <c r="I4" s="343"/>
    </row>
    <row r="5" spans="1:12" s="163" customFormat="1" ht="23.25" customHeight="1" x14ac:dyDescent="0.25">
      <c r="A5" s="823" t="s">
        <v>491</v>
      </c>
      <c r="B5" s="823"/>
      <c r="C5" s="823"/>
      <c r="D5" s="823"/>
      <c r="E5" s="342"/>
      <c r="F5" s="342"/>
      <c r="G5" s="342"/>
      <c r="H5" s="342"/>
      <c r="I5" s="342"/>
    </row>
    <row r="6" spans="1:12" ht="18.75" x14ac:dyDescent="0.25">
      <c r="A6" s="319"/>
      <c r="B6" s="319"/>
      <c r="C6" s="319"/>
      <c r="D6" s="319"/>
      <c r="E6" s="321"/>
      <c r="F6" s="321"/>
      <c r="G6" s="321"/>
      <c r="H6" s="321"/>
      <c r="I6" s="321"/>
    </row>
    <row r="7" spans="1:12" ht="15.75" x14ac:dyDescent="0.25">
      <c r="A7" s="824" t="s">
        <v>492</v>
      </c>
      <c r="B7" s="824"/>
      <c r="C7" s="824"/>
      <c r="D7" s="824"/>
      <c r="E7" s="313"/>
      <c r="F7" s="313"/>
      <c r="G7" s="313"/>
      <c r="H7" s="313"/>
      <c r="I7" s="313"/>
    </row>
    <row r="8" spans="1:12" ht="15.75" x14ac:dyDescent="0.25">
      <c r="A8" s="825" t="s">
        <v>493</v>
      </c>
      <c r="B8" s="825"/>
      <c r="C8" s="825"/>
      <c r="D8" s="825"/>
    </row>
    <row r="9" spans="1:12" ht="15.75" x14ac:dyDescent="0.25">
      <c r="A9" s="824" t="s">
        <v>524</v>
      </c>
      <c r="B9" s="824" t="s">
        <v>499</v>
      </c>
      <c r="C9" s="824"/>
      <c r="D9" s="824"/>
      <c r="E9" s="313"/>
      <c r="F9" s="313"/>
      <c r="G9" s="313"/>
      <c r="H9" s="313"/>
      <c r="I9" s="313"/>
    </row>
    <row r="10" spans="1:12" x14ac:dyDescent="0.25">
      <c r="A10" s="727" t="s">
        <v>809</v>
      </c>
      <c r="B10" s="727"/>
      <c r="C10" s="727"/>
      <c r="D10" s="727"/>
      <c r="E10" s="177"/>
      <c r="F10" s="177"/>
      <c r="G10" s="177"/>
      <c r="H10" s="177"/>
    </row>
    <row r="11" spans="1:12" x14ac:dyDescent="0.25">
      <c r="A11" s="177"/>
      <c r="B11" s="177"/>
      <c r="C11" s="177"/>
      <c r="D11" s="177"/>
      <c r="E11" s="177"/>
      <c r="F11" s="177"/>
      <c r="G11" s="177"/>
      <c r="H11" s="177"/>
    </row>
    <row r="12" spans="1:12" ht="22.5" customHeight="1" thickBot="1" x14ac:dyDescent="0.3">
      <c r="A12" s="177"/>
      <c r="B12" s="177"/>
      <c r="C12" s="177"/>
      <c r="D12" s="177"/>
    </row>
    <row r="13" spans="1:12" ht="32.25" customHeight="1" thickBot="1" x14ac:dyDescent="0.3">
      <c r="A13" s="241" t="s">
        <v>2</v>
      </c>
      <c r="B13" s="671" t="s">
        <v>3</v>
      </c>
      <c r="C13" s="672"/>
      <c r="D13" s="242" t="s">
        <v>287</v>
      </c>
    </row>
    <row r="14" spans="1:12" x14ac:dyDescent="0.25">
      <c r="A14" s="251" t="s">
        <v>392</v>
      </c>
      <c r="B14" s="248" t="s">
        <v>393</v>
      </c>
      <c r="C14" s="249"/>
      <c r="D14" s="250">
        <f>SUM(C15:C16)</f>
        <v>5318868</v>
      </c>
      <c r="H14" s="304"/>
    </row>
    <row r="15" spans="1:12" ht="31.15" customHeight="1" x14ac:dyDescent="0.25">
      <c r="A15" s="244"/>
      <c r="B15" s="174" t="s">
        <v>776</v>
      </c>
      <c r="C15" s="215">
        <f>144117*4*1</f>
        <v>576468</v>
      </c>
      <c r="D15" s="236"/>
      <c r="F15" s="640"/>
      <c r="G15" s="640"/>
      <c r="H15" s="640"/>
      <c r="I15" s="640"/>
      <c r="J15" s="640"/>
      <c r="K15" s="640"/>
      <c r="L15" s="640"/>
    </row>
    <row r="16" spans="1:12" ht="31.15" customHeight="1" x14ac:dyDescent="0.25">
      <c r="A16" s="244"/>
      <c r="B16" s="174" t="s">
        <v>780</v>
      </c>
      <c r="C16" s="215">
        <f>148200*4*8</f>
        <v>4742400</v>
      </c>
      <c r="D16" s="236"/>
      <c r="F16" s="640"/>
      <c r="G16" s="640"/>
      <c r="H16" s="640"/>
      <c r="I16" s="640"/>
      <c r="J16" s="640"/>
      <c r="K16" s="640"/>
      <c r="L16" s="640"/>
    </row>
    <row r="17" spans="1:12" x14ac:dyDescent="0.25">
      <c r="A17" s="668" t="s">
        <v>453</v>
      </c>
      <c r="B17" s="614"/>
      <c r="C17" s="316"/>
      <c r="D17" s="200">
        <f>SUM(D14:D16)</f>
        <v>5318868</v>
      </c>
    </row>
    <row r="18" spans="1:12" x14ac:dyDescent="0.25">
      <c r="A18" s="220" t="s">
        <v>475</v>
      </c>
      <c r="B18" s="221" t="s">
        <v>366</v>
      </c>
      <c r="C18" s="222"/>
      <c r="D18" s="223">
        <f>SUM(C19:C20)</f>
        <v>691452.84</v>
      </c>
      <c r="F18" s="304">
        <f>SUM(C19:C20)</f>
        <v>691452.84</v>
      </c>
      <c r="H18" s="304"/>
    </row>
    <row r="19" spans="1:12" ht="18" customHeight="1" x14ac:dyDescent="0.25">
      <c r="A19" s="244"/>
      <c r="B19" s="175" t="s">
        <v>707</v>
      </c>
      <c r="C19" s="215">
        <f>SUM(C15)*0.13</f>
        <v>74940.84</v>
      </c>
      <c r="D19" s="236"/>
      <c r="F19" s="785"/>
      <c r="G19" s="786"/>
      <c r="H19" s="786"/>
      <c r="I19" s="786"/>
      <c r="J19" s="786"/>
      <c r="K19" s="786"/>
      <c r="L19" s="787"/>
    </row>
    <row r="20" spans="1:12" ht="18" customHeight="1" x14ac:dyDescent="0.25">
      <c r="A20" s="244"/>
      <c r="B20" s="175" t="s">
        <v>708</v>
      </c>
      <c r="C20" s="215">
        <f>SUM(C16)*0.13</f>
        <v>616512</v>
      </c>
      <c r="D20" s="236"/>
      <c r="F20" s="788"/>
      <c r="G20" s="789"/>
      <c r="H20" s="789"/>
      <c r="I20" s="789"/>
      <c r="J20" s="789"/>
      <c r="K20" s="789"/>
      <c r="L20" s="790"/>
    </row>
    <row r="21" spans="1:12" ht="22.5" customHeight="1" x14ac:dyDescent="0.25">
      <c r="A21" s="668" t="s">
        <v>454</v>
      </c>
      <c r="B21" s="614"/>
      <c r="C21" s="316"/>
      <c r="D21" s="200">
        <f>SUM(D18:D20)</f>
        <v>691452.84</v>
      </c>
    </row>
    <row r="22" spans="1:12" ht="22.5" customHeight="1" x14ac:dyDescent="0.25">
      <c r="A22" s="253"/>
      <c r="B22" s="312" t="s">
        <v>46</v>
      </c>
      <c r="C22" s="317"/>
      <c r="D22" s="341">
        <f>SUM(C22:C24)</f>
        <v>0</v>
      </c>
      <c r="H22" s="752"/>
      <c r="I22" s="752"/>
      <c r="J22" s="752"/>
      <c r="K22" s="752"/>
    </row>
    <row r="23" spans="1:12" x14ac:dyDescent="0.25">
      <c r="A23" s="254"/>
      <c r="B23" s="165" t="s">
        <v>488</v>
      </c>
      <c r="C23" s="318"/>
      <c r="D23" s="199">
        <v>0</v>
      </c>
      <c r="H23" s="752"/>
      <c r="I23" s="752"/>
      <c r="J23" s="752"/>
      <c r="K23" s="752"/>
    </row>
    <row r="24" spans="1:12" ht="21" customHeight="1" x14ac:dyDescent="0.25">
      <c r="A24" s="278"/>
      <c r="B24" s="277" t="s">
        <v>489</v>
      </c>
      <c r="C24" s="215"/>
      <c r="D24" s="236">
        <v>0</v>
      </c>
    </row>
    <row r="25" spans="1:12" x14ac:dyDescent="0.25">
      <c r="A25" s="668" t="s">
        <v>110</v>
      </c>
      <c r="B25" s="614"/>
      <c r="C25" s="316"/>
      <c r="D25" s="200">
        <f>SUM(D22:D24)</f>
        <v>0</v>
      </c>
      <c r="E25" s="22"/>
    </row>
    <row r="26" spans="1:12" ht="30" x14ac:dyDescent="0.25">
      <c r="A26" s="254"/>
      <c r="B26" s="165" t="s">
        <v>490</v>
      </c>
      <c r="C26" s="318"/>
      <c r="D26" s="199">
        <f>SUM(C26)</f>
        <v>0</v>
      </c>
    </row>
    <row r="27" spans="1:12" ht="15.75" thickBot="1" x14ac:dyDescent="0.3">
      <c r="A27" s="668" t="s">
        <v>333</v>
      </c>
      <c r="B27" s="614" t="s">
        <v>115</v>
      </c>
      <c r="C27" s="234"/>
      <c r="D27" s="200">
        <f>SUM(D26)</f>
        <v>0</v>
      </c>
    </row>
    <row r="28" spans="1:12" ht="18" thickBot="1" x14ac:dyDescent="0.35">
      <c r="A28" s="819" t="s">
        <v>500</v>
      </c>
      <c r="B28" s="820"/>
      <c r="C28" s="315">
        <f>SUM(C15:C27)</f>
        <v>6010320.8399999999</v>
      </c>
      <c r="D28" s="235">
        <f>SUM(D27,D25,D21,D17)</f>
        <v>6010320.8399999999</v>
      </c>
    </row>
  </sheetData>
  <mergeCells count="16">
    <mergeCell ref="A1:D1"/>
    <mergeCell ref="A28:B28"/>
    <mergeCell ref="A5:D5"/>
    <mergeCell ref="A7:D7"/>
    <mergeCell ref="A8:D8"/>
    <mergeCell ref="A10:D10"/>
    <mergeCell ref="B13:C13"/>
    <mergeCell ref="A17:B17"/>
    <mergeCell ref="A21:B21"/>
    <mergeCell ref="A25:B25"/>
    <mergeCell ref="A9:D9"/>
    <mergeCell ref="F15:L16"/>
    <mergeCell ref="F19:L20"/>
    <mergeCell ref="A3:D3"/>
    <mergeCell ref="A27:B27"/>
    <mergeCell ref="H22:K23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headerFooter>
    <oddHeader xml:space="preserve">&amp;C2022. évi elfogadott költségvetés - Gyermeklánc Óvoda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27"/>
  <sheetViews>
    <sheetView view="pageBreakPreview" zoomScale="60" zoomScaleNormal="100" workbookViewId="0">
      <selection activeCell="J40" sqref="J40"/>
    </sheetView>
  </sheetViews>
  <sheetFormatPr defaultRowHeight="15" x14ac:dyDescent="0.25"/>
  <cols>
    <col min="1" max="1" width="9.140625" customWidth="1"/>
    <col min="2" max="2" width="50.140625" customWidth="1"/>
    <col min="3" max="3" width="19.85546875" customWidth="1"/>
    <col min="4" max="4" width="17.85546875" customWidth="1"/>
    <col min="5" max="5" width="9.140625" customWidth="1"/>
    <col min="7" max="7" width="9.5703125" bestFit="1" customWidth="1"/>
    <col min="8" max="8" width="9.140625" customWidth="1"/>
  </cols>
  <sheetData>
    <row r="1" spans="1:13" ht="18.75" x14ac:dyDescent="0.25">
      <c r="A1" s="732" t="s">
        <v>741</v>
      </c>
      <c r="B1" s="732"/>
      <c r="C1" s="732"/>
      <c r="D1" s="732"/>
    </row>
    <row r="2" spans="1:13" ht="35.25" customHeight="1" x14ac:dyDescent="0.25">
      <c r="A2" s="821" t="s">
        <v>764</v>
      </c>
      <c r="B2" s="821" t="s">
        <v>494</v>
      </c>
      <c r="C2" s="821"/>
      <c r="D2" s="821"/>
    </row>
    <row r="3" spans="1:13" x14ac:dyDescent="0.25">
      <c r="F3" s="405"/>
      <c r="G3" s="405"/>
      <c r="H3" s="405"/>
      <c r="I3" s="405"/>
      <c r="J3" s="405"/>
    </row>
    <row r="4" spans="1:13" ht="15.75" thickBot="1" x14ac:dyDescent="0.3">
      <c r="A4" s="177"/>
      <c r="B4" s="177"/>
      <c r="C4" s="177"/>
      <c r="D4" s="177"/>
    </row>
    <row r="5" spans="1:13" ht="33" customHeight="1" thickBot="1" x14ac:dyDescent="0.3">
      <c r="A5" s="413" t="s">
        <v>2</v>
      </c>
      <c r="B5" s="826" t="s">
        <v>3</v>
      </c>
      <c r="C5" s="827"/>
      <c r="D5" s="242" t="s">
        <v>287</v>
      </c>
      <c r="F5" s="418"/>
      <c r="G5" s="418"/>
      <c r="H5" s="418"/>
      <c r="I5" s="418"/>
      <c r="J5" s="418"/>
      <c r="K5" s="418"/>
      <c r="L5" s="418"/>
      <c r="M5" s="418"/>
    </row>
    <row r="6" spans="1:13" ht="30" x14ac:dyDescent="0.25">
      <c r="A6" s="251" t="s">
        <v>21</v>
      </c>
      <c r="B6" s="248" t="s">
        <v>742</v>
      </c>
      <c r="C6" s="249"/>
      <c r="D6" s="250">
        <f>SUM(C7:C9)</f>
        <v>2702000</v>
      </c>
    </row>
    <row r="7" spans="1:13" ht="38.25" customHeight="1" x14ac:dyDescent="0.25">
      <c r="A7" s="220"/>
      <c r="B7" s="446" t="s">
        <v>761</v>
      </c>
      <c r="C7" s="532">
        <f>56000+112000+100000</f>
        <v>268000</v>
      </c>
      <c r="D7" s="223"/>
      <c r="F7" s="415"/>
      <c r="G7" s="416"/>
      <c r="H7" s="416"/>
      <c r="I7" s="416"/>
      <c r="J7" s="416"/>
      <c r="K7" s="416"/>
      <c r="L7" s="416"/>
      <c r="M7" s="417"/>
    </row>
    <row r="8" spans="1:13" ht="45.75" customHeight="1" x14ac:dyDescent="0.25">
      <c r="A8" s="254"/>
      <c r="B8" s="486" t="s">
        <v>762</v>
      </c>
      <c r="C8" s="406">
        <f>(56000+112000+100000)*5.5</f>
        <v>1474000</v>
      </c>
      <c r="D8" s="199"/>
      <c r="F8" s="157"/>
      <c r="G8" s="157"/>
      <c r="H8" s="157"/>
      <c r="I8" s="157"/>
      <c r="J8" s="157"/>
      <c r="K8" s="157"/>
      <c r="L8" s="157"/>
      <c r="M8" s="157"/>
    </row>
    <row r="9" spans="1:13" ht="45.75" customHeight="1" x14ac:dyDescent="0.25">
      <c r="A9" s="254"/>
      <c r="B9" s="486" t="s">
        <v>763</v>
      </c>
      <c r="C9" s="406">
        <f>(65000+135000+120000)*3</f>
        <v>960000</v>
      </c>
      <c r="D9" s="199"/>
    </row>
    <row r="10" spans="1:13" x14ac:dyDescent="0.25">
      <c r="A10" s="254"/>
      <c r="B10" s="165"/>
      <c r="C10" s="318"/>
      <c r="D10" s="199"/>
    </row>
    <row r="11" spans="1:13" x14ac:dyDescent="0.25">
      <c r="A11" s="668" t="s">
        <v>453</v>
      </c>
      <c r="B11" s="614"/>
      <c r="C11" s="316"/>
      <c r="D11" s="200">
        <f>SUM(D6:D10)</f>
        <v>2702000</v>
      </c>
    </row>
    <row r="12" spans="1:13" x14ac:dyDescent="0.25">
      <c r="A12" s="294"/>
      <c r="B12" s="158"/>
      <c r="C12" s="408"/>
      <c r="D12" s="200"/>
    </row>
    <row r="13" spans="1:13" x14ac:dyDescent="0.25">
      <c r="A13" s="220" t="s">
        <v>475</v>
      </c>
      <c r="B13" s="221" t="s">
        <v>366</v>
      </c>
      <c r="C13" s="222"/>
      <c r="D13" s="223">
        <f>SUM(C14:C15)</f>
        <v>351260</v>
      </c>
      <c r="G13" s="18"/>
    </row>
    <row r="14" spans="1:13" x14ac:dyDescent="0.25">
      <c r="A14" s="220"/>
      <c r="B14" s="175" t="s">
        <v>759</v>
      </c>
      <c r="C14" s="171">
        <f>SUM(C7)*0.13</f>
        <v>34840</v>
      </c>
      <c r="D14" s="223"/>
    </row>
    <row r="15" spans="1:13" x14ac:dyDescent="0.25">
      <c r="A15" s="244"/>
      <c r="B15" s="175" t="s">
        <v>760</v>
      </c>
      <c r="C15" s="171">
        <f>SUM(C8:C9)*0.13</f>
        <v>316420</v>
      </c>
      <c r="D15" s="236"/>
    </row>
    <row r="16" spans="1:13" x14ac:dyDescent="0.25">
      <c r="A16" s="244"/>
      <c r="B16" s="175"/>
      <c r="C16" s="171"/>
      <c r="D16" s="236"/>
    </row>
    <row r="17" spans="1:4" x14ac:dyDescent="0.25">
      <c r="A17" s="668" t="s">
        <v>454</v>
      </c>
      <c r="B17" s="614"/>
      <c r="C17" s="316"/>
      <c r="D17" s="200">
        <f>SUM(D13:D15)</f>
        <v>351260</v>
      </c>
    </row>
    <row r="18" spans="1:4" x14ac:dyDescent="0.25">
      <c r="A18" s="254"/>
      <c r="B18" s="165"/>
      <c r="C18" s="318"/>
      <c r="D18" s="199"/>
    </row>
    <row r="19" spans="1:4" x14ac:dyDescent="0.25">
      <c r="A19" s="254"/>
      <c r="B19" s="165"/>
      <c r="C19" s="318"/>
      <c r="D19" s="199"/>
    </row>
    <row r="20" spans="1:4" x14ac:dyDescent="0.25">
      <c r="A20" s="668" t="s">
        <v>110</v>
      </c>
      <c r="B20" s="614"/>
      <c r="C20" s="316"/>
      <c r="D20" s="200">
        <v>0</v>
      </c>
    </row>
    <row r="21" spans="1:4" x14ac:dyDescent="0.25">
      <c r="A21" s="294"/>
      <c r="B21" s="158"/>
      <c r="C21" s="316"/>
      <c r="D21" s="200"/>
    </row>
    <row r="22" spans="1:4" x14ac:dyDescent="0.25">
      <c r="A22" s="668" t="s">
        <v>543</v>
      </c>
      <c r="B22" s="614"/>
      <c r="C22" s="316"/>
      <c r="D22" s="200">
        <v>0</v>
      </c>
    </row>
    <row r="23" spans="1:4" x14ac:dyDescent="0.25">
      <c r="A23" s="254"/>
      <c r="B23" s="165"/>
      <c r="C23" s="318"/>
      <c r="D23" s="199"/>
    </row>
    <row r="24" spans="1:4" x14ac:dyDescent="0.25">
      <c r="A24" s="668" t="s">
        <v>333</v>
      </c>
      <c r="B24" s="614" t="s">
        <v>233</v>
      </c>
      <c r="C24" s="316"/>
      <c r="D24" s="200">
        <v>0</v>
      </c>
    </row>
    <row r="25" spans="1:4" x14ac:dyDescent="0.25">
      <c r="A25" s="254"/>
      <c r="B25" s="165"/>
      <c r="C25" s="409"/>
      <c r="D25" s="199"/>
    </row>
    <row r="26" spans="1:4" ht="15.75" thickBot="1" x14ac:dyDescent="0.3">
      <c r="A26" s="668" t="s">
        <v>120</v>
      </c>
      <c r="B26" s="614" t="s">
        <v>115</v>
      </c>
      <c r="C26" s="234"/>
      <c r="D26" s="200">
        <f>SUM(D23)</f>
        <v>0</v>
      </c>
    </row>
    <row r="27" spans="1:4" ht="18" thickBot="1" x14ac:dyDescent="0.35">
      <c r="A27" s="819" t="s">
        <v>744</v>
      </c>
      <c r="B27" s="820"/>
      <c r="C27" s="379">
        <f>SUM(C7:C26)</f>
        <v>3053260</v>
      </c>
      <c r="D27" s="235">
        <f>SUM(D11,D17,D20,D22,D24,D26)</f>
        <v>3053260</v>
      </c>
    </row>
  </sheetData>
  <mergeCells count="10">
    <mergeCell ref="A27:B27"/>
    <mergeCell ref="A1:D1"/>
    <mergeCell ref="A2:D2"/>
    <mergeCell ref="B5:C5"/>
    <mergeCell ref="A11:B11"/>
    <mergeCell ref="A17:B17"/>
    <mergeCell ref="A20:B20"/>
    <mergeCell ref="A22:B22"/>
    <mergeCell ref="A26:B26"/>
    <mergeCell ref="A24:B24"/>
  </mergeCells>
  <pageMargins left="0.7" right="0.7" top="0.75" bottom="0.75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8"/>
  <sheetViews>
    <sheetView topLeftCell="A371" workbookViewId="0">
      <selection activeCell="A325" sqref="A325:B325"/>
    </sheetView>
  </sheetViews>
  <sheetFormatPr defaultRowHeight="15" x14ac:dyDescent="0.25"/>
  <cols>
    <col min="2" max="2" width="65.7109375" customWidth="1"/>
    <col min="3" max="3" width="23.28515625" customWidth="1"/>
    <col min="4" max="4" width="28.7109375" customWidth="1"/>
    <col min="5" max="5" width="17.7109375" customWidth="1"/>
  </cols>
  <sheetData>
    <row r="1" spans="1:6" ht="106.5" customHeight="1" thickTop="1" thickBot="1" x14ac:dyDescent="0.3">
      <c r="A1" s="622" t="s">
        <v>269</v>
      </c>
      <c r="B1" s="623"/>
      <c r="C1" s="624"/>
    </row>
    <row r="2" spans="1:6" ht="31.5" customHeight="1" thickTop="1" x14ac:dyDescent="0.25">
      <c r="B2" s="1" t="s">
        <v>0</v>
      </c>
    </row>
    <row r="3" spans="1:6" ht="16.5" thickBot="1" x14ac:dyDescent="0.3">
      <c r="A3" s="625"/>
      <c r="B3" s="625"/>
      <c r="C3" s="2"/>
      <c r="D3" s="3"/>
      <c r="E3" s="3"/>
      <c r="F3" s="3"/>
    </row>
    <row r="4" spans="1:6" ht="22.5" thickTop="1" thickBot="1" x14ac:dyDescent="0.3">
      <c r="A4" s="4"/>
      <c r="B4" s="5" t="s">
        <v>1</v>
      </c>
      <c r="C4" s="6"/>
      <c r="D4" s="7"/>
      <c r="E4" s="7"/>
      <c r="F4" s="7"/>
    </row>
    <row r="5" spans="1:6" ht="15.75" thickTop="1" x14ac:dyDescent="0.25">
      <c r="A5" s="8" t="s">
        <v>2</v>
      </c>
      <c r="B5" s="9" t="s">
        <v>3</v>
      </c>
      <c r="C5" s="10" t="s">
        <v>4</v>
      </c>
      <c r="D5" s="11"/>
      <c r="E5" s="11"/>
      <c r="F5" s="11"/>
    </row>
    <row r="6" spans="1:6" ht="69.75" customHeight="1" x14ac:dyDescent="0.25">
      <c r="A6" s="12" t="s">
        <v>5</v>
      </c>
      <c r="B6" s="13" t="s">
        <v>267</v>
      </c>
      <c r="C6" s="14">
        <f>2166000+17423500+49029300+109620+1647000+2763032+2833880</f>
        <v>75972332</v>
      </c>
      <c r="D6" s="15" t="s">
        <v>6</v>
      </c>
    </row>
    <row r="7" spans="1:6" x14ac:dyDescent="0.25">
      <c r="A7" s="12" t="s">
        <v>5</v>
      </c>
      <c r="B7" s="16" t="s">
        <v>7</v>
      </c>
      <c r="C7" s="14">
        <v>2166000</v>
      </c>
      <c r="D7" s="17"/>
    </row>
    <row r="8" spans="1:6" x14ac:dyDescent="0.25">
      <c r="A8" s="12" t="s">
        <v>5</v>
      </c>
      <c r="B8" s="16" t="s">
        <v>8</v>
      </c>
      <c r="C8" s="14">
        <v>1275252</v>
      </c>
      <c r="D8" s="17"/>
    </row>
    <row r="9" spans="1:6" x14ac:dyDescent="0.25">
      <c r="A9" s="12" t="s">
        <v>5</v>
      </c>
      <c r="B9" s="16" t="s">
        <v>9</v>
      </c>
      <c r="C9" s="14">
        <f>637620+212544</f>
        <v>850164</v>
      </c>
      <c r="D9" s="17"/>
      <c r="E9" s="17"/>
    </row>
    <row r="10" spans="1:6" ht="45" x14ac:dyDescent="0.25">
      <c r="A10" s="12" t="s">
        <v>5</v>
      </c>
      <c r="B10" s="13" t="s">
        <v>10</v>
      </c>
      <c r="C10" s="14">
        <f>1068232+420000</f>
        <v>1488232</v>
      </c>
      <c r="D10" s="17"/>
      <c r="E10" s="17"/>
    </row>
    <row r="11" spans="1:6" x14ac:dyDescent="0.25">
      <c r="A11" s="12" t="s">
        <v>5</v>
      </c>
      <c r="B11" s="13" t="s">
        <v>11</v>
      </c>
      <c r="C11" s="14">
        <v>0</v>
      </c>
      <c r="D11" s="17"/>
      <c r="E11" s="17"/>
    </row>
    <row r="12" spans="1:6" ht="30" x14ac:dyDescent="0.25">
      <c r="A12" s="12" t="s">
        <v>12</v>
      </c>
      <c r="B12" s="13" t="s">
        <v>268</v>
      </c>
      <c r="C12" s="14">
        <f>983001+276000+1726895+1771175</f>
        <v>4757071</v>
      </c>
      <c r="D12" s="17"/>
      <c r="E12" s="17"/>
    </row>
    <row r="13" spans="1:6" x14ac:dyDescent="0.25">
      <c r="A13" s="12" t="s">
        <v>13</v>
      </c>
      <c r="B13" s="16" t="s">
        <v>14</v>
      </c>
      <c r="C13" s="14">
        <v>63000</v>
      </c>
      <c r="D13" s="17"/>
      <c r="E13" s="18"/>
    </row>
    <row r="14" spans="1:6" x14ac:dyDescent="0.25">
      <c r="A14" s="12" t="s">
        <v>15</v>
      </c>
      <c r="B14" s="16" t="s">
        <v>16</v>
      </c>
      <c r="C14" s="14">
        <v>73000</v>
      </c>
      <c r="D14" s="18"/>
      <c r="E14" s="18"/>
    </row>
    <row r="15" spans="1:6" x14ac:dyDescent="0.25">
      <c r="A15" s="12" t="s">
        <v>15</v>
      </c>
      <c r="B15" s="16" t="s">
        <v>17</v>
      </c>
      <c r="C15" s="14">
        <f>((24*8)+(22*4)+(3*12))*1000</f>
        <v>316000</v>
      </c>
      <c r="D15" s="18"/>
      <c r="E15" s="18"/>
    </row>
    <row r="16" spans="1:6" ht="45" x14ac:dyDescent="0.25">
      <c r="A16" s="12" t="s">
        <v>18</v>
      </c>
      <c r="B16" s="13" t="s">
        <v>19</v>
      </c>
      <c r="C16" s="14">
        <v>980000</v>
      </c>
      <c r="D16" s="19" t="s">
        <v>20</v>
      </c>
      <c r="E16" s="18"/>
    </row>
    <row r="17" spans="1:6" ht="30" x14ac:dyDescent="0.25">
      <c r="A17" s="12" t="s">
        <v>21</v>
      </c>
      <c r="B17" s="13" t="s">
        <v>22</v>
      </c>
      <c r="C17" s="14">
        <f>((15000*9.5)+(66000*9.5)+(24000*9.5))</f>
        <v>997500</v>
      </c>
      <c r="D17" s="18"/>
      <c r="E17" s="18"/>
    </row>
    <row r="18" spans="1:6" x14ac:dyDescent="0.25">
      <c r="A18" s="613" t="s">
        <v>23</v>
      </c>
      <c r="B18" s="614"/>
      <c r="C18" s="20">
        <f>SUM(C6:C17)</f>
        <v>88938551</v>
      </c>
      <c r="D18" s="21"/>
      <c r="E18" s="21"/>
      <c r="F18" s="22"/>
    </row>
    <row r="19" spans="1:6" x14ac:dyDescent="0.25">
      <c r="A19" s="12" t="s">
        <v>24</v>
      </c>
      <c r="B19" s="16" t="s">
        <v>25</v>
      </c>
      <c r="C19" s="14">
        <f>SUM(C6:C10,C15,C16,C17)*0.2</f>
        <v>16809096</v>
      </c>
      <c r="D19" s="18"/>
      <c r="E19" s="18"/>
    </row>
    <row r="20" spans="1:6" x14ac:dyDescent="0.25">
      <c r="A20" s="12" t="s">
        <v>26</v>
      </c>
      <c r="B20" s="16" t="s">
        <v>27</v>
      </c>
      <c r="C20" s="14">
        <f>C11*0.2</f>
        <v>0</v>
      </c>
      <c r="D20" s="18"/>
      <c r="E20" s="18"/>
    </row>
    <row r="21" spans="1:6" x14ac:dyDescent="0.25">
      <c r="A21" s="12"/>
      <c r="B21" s="16" t="s">
        <v>28</v>
      </c>
      <c r="C21" s="14">
        <f>C12*0.2</f>
        <v>951414.20000000007</v>
      </c>
      <c r="D21" s="18"/>
      <c r="E21" s="18"/>
    </row>
    <row r="22" spans="1:6" x14ac:dyDescent="0.25">
      <c r="A22" s="12"/>
      <c r="B22" s="16" t="s">
        <v>29</v>
      </c>
      <c r="C22" s="14">
        <v>20000</v>
      </c>
      <c r="D22" s="18"/>
      <c r="E22" s="18"/>
    </row>
    <row r="23" spans="1:6" x14ac:dyDescent="0.25">
      <c r="A23" s="12"/>
      <c r="B23" s="16" t="s">
        <v>30</v>
      </c>
      <c r="C23" s="14">
        <v>15000</v>
      </c>
      <c r="D23" s="18"/>
      <c r="E23" s="18"/>
    </row>
    <row r="24" spans="1:6" x14ac:dyDescent="0.25">
      <c r="A24" s="12"/>
      <c r="B24" s="16" t="s">
        <v>31</v>
      </c>
      <c r="C24" s="14">
        <v>2754000</v>
      </c>
      <c r="D24" s="17"/>
      <c r="E24" s="18"/>
    </row>
    <row r="25" spans="1:6" x14ac:dyDescent="0.25">
      <c r="A25" s="613" t="s">
        <v>32</v>
      </c>
      <c r="B25" s="614"/>
      <c r="C25" s="20">
        <f>SUM(C19:C24)</f>
        <v>20549510.199999999</v>
      </c>
      <c r="D25" s="17"/>
      <c r="E25" s="21"/>
      <c r="F25" s="22"/>
    </row>
    <row r="26" spans="1:6" x14ac:dyDescent="0.25">
      <c r="A26" s="12" t="s">
        <v>33</v>
      </c>
      <c r="B26" s="16" t="s">
        <v>34</v>
      </c>
      <c r="C26" s="14">
        <v>40000</v>
      </c>
      <c r="D26" s="18"/>
      <c r="E26" s="18"/>
    </row>
    <row r="27" spans="1:6" x14ac:dyDescent="0.25">
      <c r="A27" s="23" t="s">
        <v>35</v>
      </c>
      <c r="B27" s="24" t="s">
        <v>36</v>
      </c>
      <c r="C27" s="14">
        <v>50000</v>
      </c>
    </row>
    <row r="28" spans="1:6" x14ac:dyDescent="0.25">
      <c r="A28" s="23" t="s">
        <v>35</v>
      </c>
      <c r="B28" s="24" t="s">
        <v>37</v>
      </c>
      <c r="C28" s="14">
        <v>40000</v>
      </c>
    </row>
    <row r="29" spans="1:6" x14ac:dyDescent="0.25">
      <c r="A29" s="25" t="s">
        <v>38</v>
      </c>
      <c r="B29" s="26" t="s">
        <v>39</v>
      </c>
      <c r="C29" s="27">
        <f>SUM(C27:C28)*0.05</f>
        <v>4500</v>
      </c>
      <c r="D29" s="18"/>
      <c r="E29" s="18"/>
    </row>
    <row r="30" spans="1:6" ht="32.25" customHeight="1" x14ac:dyDescent="0.25">
      <c r="A30" s="12" t="s">
        <v>40</v>
      </c>
      <c r="B30" s="28" t="s">
        <v>41</v>
      </c>
      <c r="C30" s="14">
        <v>50000</v>
      </c>
      <c r="D30" s="619"/>
      <c r="E30" s="18"/>
    </row>
    <row r="31" spans="1:6" x14ac:dyDescent="0.25">
      <c r="A31" s="12" t="s">
        <v>40</v>
      </c>
      <c r="B31" s="29" t="s">
        <v>42</v>
      </c>
      <c r="C31" s="14">
        <v>100000</v>
      </c>
      <c r="D31" s="619"/>
      <c r="E31" s="18"/>
    </row>
    <row r="32" spans="1:6" x14ac:dyDescent="0.25">
      <c r="A32" s="12" t="s">
        <v>43</v>
      </c>
      <c r="B32" s="29" t="s">
        <v>44</v>
      </c>
      <c r="C32" s="14">
        <v>15000</v>
      </c>
      <c r="D32" s="18"/>
      <c r="E32" s="18"/>
    </row>
    <row r="33" spans="1:6" x14ac:dyDescent="0.25">
      <c r="A33" s="12" t="s">
        <v>45</v>
      </c>
      <c r="B33" s="16" t="s">
        <v>46</v>
      </c>
      <c r="C33" s="14">
        <v>350000</v>
      </c>
      <c r="D33" s="18"/>
      <c r="E33" s="18"/>
    </row>
    <row r="34" spans="1:6" x14ac:dyDescent="0.25">
      <c r="A34" s="12" t="s">
        <v>45</v>
      </c>
      <c r="B34" s="16" t="s">
        <v>47</v>
      </c>
      <c r="C34" s="14">
        <v>50000</v>
      </c>
      <c r="D34" s="18"/>
      <c r="E34" s="18"/>
    </row>
    <row r="35" spans="1:6" x14ac:dyDescent="0.25">
      <c r="A35" s="12" t="s">
        <v>48</v>
      </c>
      <c r="B35" s="16" t="s">
        <v>49</v>
      </c>
      <c r="C35" s="14">
        <v>50000</v>
      </c>
      <c r="D35" s="18"/>
      <c r="E35" s="18"/>
    </row>
    <row r="36" spans="1:6" x14ac:dyDescent="0.25">
      <c r="A36" s="12" t="s">
        <v>50</v>
      </c>
      <c r="B36" s="16" t="s">
        <v>51</v>
      </c>
      <c r="C36" s="14">
        <v>270000</v>
      </c>
      <c r="D36" s="18"/>
      <c r="E36" s="18"/>
    </row>
    <row r="37" spans="1:6" ht="59.25" customHeight="1" x14ac:dyDescent="0.25">
      <c r="A37" s="12" t="s">
        <v>52</v>
      </c>
      <c r="B37" s="13" t="s">
        <v>53</v>
      </c>
      <c r="C37" s="14">
        <v>350000</v>
      </c>
      <c r="D37" s="18"/>
      <c r="E37" s="18"/>
    </row>
    <row r="38" spans="1:6" x14ac:dyDescent="0.25">
      <c r="A38" s="12" t="s">
        <v>52</v>
      </c>
      <c r="B38" s="16" t="s">
        <v>54</v>
      </c>
      <c r="C38" s="14">
        <v>400000</v>
      </c>
      <c r="D38" s="18"/>
      <c r="E38" s="18"/>
    </row>
    <row r="39" spans="1:6" x14ac:dyDescent="0.25">
      <c r="A39" s="12" t="s">
        <v>52</v>
      </c>
      <c r="B39" s="16" t="s">
        <v>55</v>
      </c>
      <c r="C39" s="14">
        <v>100000</v>
      </c>
      <c r="D39" s="18"/>
      <c r="E39" s="18"/>
    </row>
    <row r="40" spans="1:6" x14ac:dyDescent="0.25">
      <c r="A40" s="12" t="s">
        <v>52</v>
      </c>
      <c r="B40" s="16" t="s">
        <v>56</v>
      </c>
      <c r="C40" s="14">
        <v>475000</v>
      </c>
      <c r="D40" s="18"/>
      <c r="E40" s="18"/>
    </row>
    <row r="41" spans="1:6" x14ac:dyDescent="0.25">
      <c r="A41" s="30" t="s">
        <v>38</v>
      </c>
      <c r="B41" s="31" t="s">
        <v>57</v>
      </c>
      <c r="C41" s="32">
        <f>SUM(C30:C40,C26)*0.27</f>
        <v>607500</v>
      </c>
      <c r="D41" s="18"/>
      <c r="E41" s="18"/>
    </row>
    <row r="42" spans="1:6" x14ac:dyDescent="0.25">
      <c r="A42" s="620" t="s">
        <v>58</v>
      </c>
      <c r="B42" s="621"/>
      <c r="C42" s="33">
        <f>SUM(C26:C28,C30:C40)</f>
        <v>2340000</v>
      </c>
      <c r="D42" s="34"/>
      <c r="E42" s="34"/>
      <c r="F42" s="35"/>
    </row>
    <row r="43" spans="1:6" x14ac:dyDescent="0.25">
      <c r="A43" s="12" t="s">
        <v>59</v>
      </c>
      <c r="B43" s="16" t="s">
        <v>60</v>
      </c>
      <c r="C43" s="14">
        <f>60000+36000</f>
        <v>96000</v>
      </c>
      <c r="D43" s="18"/>
      <c r="E43" s="18"/>
    </row>
    <row r="44" spans="1:6" ht="26.25" customHeight="1" x14ac:dyDescent="0.25">
      <c r="A44" s="12" t="s">
        <v>61</v>
      </c>
      <c r="B44" s="13" t="s">
        <v>62</v>
      </c>
      <c r="C44" s="14">
        <f>180000+64800+26400</f>
        <v>271200</v>
      </c>
      <c r="D44" s="18"/>
      <c r="E44" s="18"/>
    </row>
    <row r="45" spans="1:6" x14ac:dyDescent="0.25">
      <c r="A45" s="12" t="s">
        <v>63</v>
      </c>
      <c r="B45" s="16" t="s">
        <v>64</v>
      </c>
      <c r="C45" s="14">
        <f>264000+4200</f>
        <v>268200</v>
      </c>
      <c r="D45" s="18"/>
      <c r="E45" s="18"/>
    </row>
    <row r="46" spans="1:6" x14ac:dyDescent="0.25">
      <c r="A46" s="36" t="s">
        <v>38</v>
      </c>
      <c r="B46" s="37" t="s">
        <v>65</v>
      </c>
      <c r="C46" s="38">
        <f>C43*0.18</f>
        <v>17280</v>
      </c>
      <c r="D46" s="18"/>
      <c r="E46" s="18"/>
    </row>
    <row r="47" spans="1:6" x14ac:dyDescent="0.25">
      <c r="A47" s="30" t="s">
        <v>38</v>
      </c>
      <c r="B47" s="31" t="s">
        <v>57</v>
      </c>
      <c r="C47" s="32">
        <f>SUM(C44:C45)*0.27</f>
        <v>145638</v>
      </c>
      <c r="D47" s="18"/>
      <c r="E47" s="18"/>
    </row>
    <row r="48" spans="1:6" x14ac:dyDescent="0.25">
      <c r="A48" s="620" t="s">
        <v>66</v>
      </c>
      <c r="B48" s="621"/>
      <c r="C48" s="33">
        <f>SUM(C43:C45)</f>
        <v>635400</v>
      </c>
      <c r="D48" s="34"/>
      <c r="E48" s="34"/>
      <c r="F48" s="35"/>
    </row>
    <row r="49" spans="1:6" x14ac:dyDescent="0.25">
      <c r="A49" s="12" t="s">
        <v>67</v>
      </c>
      <c r="B49" s="16" t="s">
        <v>68</v>
      </c>
      <c r="C49" s="14">
        <f>3500000-350000</f>
        <v>3150000</v>
      </c>
      <c r="D49" s="18"/>
      <c r="E49" s="18"/>
    </row>
    <row r="50" spans="1:6" x14ac:dyDescent="0.25">
      <c r="A50" s="12" t="s">
        <v>69</v>
      </c>
      <c r="B50" s="16" t="s">
        <v>70</v>
      </c>
      <c r="C50" s="14">
        <f>1300000-130000</f>
        <v>1170000</v>
      </c>
      <c r="D50" s="18"/>
      <c r="E50" s="18"/>
    </row>
    <row r="51" spans="1:6" x14ac:dyDescent="0.25">
      <c r="A51" s="12" t="s">
        <v>71</v>
      </c>
      <c r="B51" s="16" t="s">
        <v>72</v>
      </c>
      <c r="C51" s="14">
        <f>750000-75000</f>
        <v>675000</v>
      </c>
      <c r="D51" s="18"/>
      <c r="E51" s="18"/>
    </row>
    <row r="52" spans="1:6" x14ac:dyDescent="0.25">
      <c r="A52" s="30" t="s">
        <v>38</v>
      </c>
      <c r="B52" s="31" t="s">
        <v>57</v>
      </c>
      <c r="C52" s="32">
        <f>SUM(C49:C51)*0.27</f>
        <v>1348650</v>
      </c>
      <c r="D52" s="18"/>
      <c r="E52" s="18"/>
    </row>
    <row r="53" spans="1:6" x14ac:dyDescent="0.25">
      <c r="A53" s="620" t="s">
        <v>73</v>
      </c>
      <c r="B53" s="621"/>
      <c r="C53" s="33">
        <f>SUM(C49:C51)</f>
        <v>4995000</v>
      </c>
      <c r="D53" s="34"/>
      <c r="E53" s="34"/>
      <c r="F53" s="35"/>
    </row>
    <row r="54" spans="1:6" ht="30" x14ac:dyDescent="0.25">
      <c r="A54" s="39" t="s">
        <v>74</v>
      </c>
      <c r="B54" s="13" t="s">
        <v>75</v>
      </c>
      <c r="C54" s="40">
        <f>11740682+2452310+8004450</f>
        <v>22197442</v>
      </c>
      <c r="D54" s="34"/>
      <c r="E54" s="34"/>
      <c r="F54" s="35"/>
    </row>
    <row r="55" spans="1:6" x14ac:dyDescent="0.25">
      <c r="A55" s="41" t="s">
        <v>76</v>
      </c>
      <c r="B55" s="42" t="s">
        <v>77</v>
      </c>
      <c r="C55" s="43">
        <f>SUM(C54)*0.27</f>
        <v>5993309.3400000008</v>
      </c>
      <c r="D55" s="34"/>
      <c r="E55" s="34"/>
      <c r="F55" s="35"/>
    </row>
    <row r="56" spans="1:6" x14ac:dyDescent="0.25">
      <c r="A56" s="39"/>
      <c r="B56" s="44" t="s">
        <v>78</v>
      </c>
      <c r="C56" s="33">
        <f>SUM(C54)</f>
        <v>22197442</v>
      </c>
      <c r="D56" s="34"/>
      <c r="E56" s="34"/>
      <c r="F56" s="35"/>
    </row>
    <row r="57" spans="1:6" x14ac:dyDescent="0.25">
      <c r="A57" s="12" t="s">
        <v>79</v>
      </c>
      <c r="B57" s="16" t="s">
        <v>80</v>
      </c>
      <c r="C57" s="14">
        <v>200000</v>
      </c>
      <c r="D57" s="18"/>
      <c r="E57" s="18"/>
    </row>
    <row r="58" spans="1:6" x14ac:dyDescent="0.25">
      <c r="A58" s="12" t="s">
        <v>79</v>
      </c>
      <c r="B58" s="16" t="s">
        <v>81</v>
      </c>
      <c r="C58" s="14">
        <v>100000</v>
      </c>
      <c r="D58" s="18"/>
      <c r="E58" s="18"/>
    </row>
    <row r="59" spans="1:6" x14ac:dyDescent="0.25">
      <c r="A59" s="30" t="s">
        <v>38</v>
      </c>
      <c r="B59" s="31" t="s">
        <v>57</v>
      </c>
      <c r="C59" s="32">
        <f>SUM(C57:C58)*0.27</f>
        <v>81000</v>
      </c>
      <c r="D59" s="18"/>
      <c r="E59" s="18"/>
    </row>
    <row r="60" spans="1:6" x14ac:dyDescent="0.25">
      <c r="A60" s="620" t="s">
        <v>82</v>
      </c>
      <c r="B60" s="621"/>
      <c r="C60" s="33">
        <f>SUM(C57:C58)</f>
        <v>300000</v>
      </c>
      <c r="D60" s="34"/>
      <c r="E60" s="34"/>
      <c r="F60" s="35"/>
    </row>
    <row r="61" spans="1:6" x14ac:dyDescent="0.25">
      <c r="A61" s="45" t="s">
        <v>83</v>
      </c>
      <c r="B61" s="46" t="s">
        <v>84</v>
      </c>
      <c r="C61" s="47">
        <v>99000</v>
      </c>
      <c r="D61" s="18"/>
      <c r="E61" s="18"/>
    </row>
    <row r="62" spans="1:6" x14ac:dyDescent="0.25">
      <c r="A62" s="620" t="s">
        <v>85</v>
      </c>
      <c r="B62" s="621"/>
      <c r="C62" s="33">
        <f>SUM(C61)</f>
        <v>99000</v>
      </c>
      <c r="D62" s="34"/>
      <c r="E62" s="34"/>
      <c r="F62" s="35"/>
    </row>
    <row r="63" spans="1:6" x14ac:dyDescent="0.25">
      <c r="A63" s="12" t="s">
        <v>86</v>
      </c>
      <c r="B63" s="16" t="s">
        <v>87</v>
      </c>
      <c r="C63" s="14">
        <v>80000</v>
      </c>
      <c r="D63" s="18"/>
      <c r="E63" s="18"/>
    </row>
    <row r="64" spans="1:6" x14ac:dyDescent="0.25">
      <c r="A64" s="45" t="s">
        <v>86</v>
      </c>
      <c r="B64" s="46" t="s">
        <v>88</v>
      </c>
      <c r="C64" s="47">
        <v>200000</v>
      </c>
      <c r="D64" s="18"/>
      <c r="E64" s="18"/>
    </row>
    <row r="65" spans="1:6" x14ac:dyDescent="0.25">
      <c r="A65" s="45" t="s">
        <v>89</v>
      </c>
      <c r="B65" s="46" t="s">
        <v>90</v>
      </c>
      <c r="C65" s="47">
        <v>50000</v>
      </c>
      <c r="D65" s="18"/>
      <c r="E65" s="18"/>
    </row>
    <row r="66" spans="1:6" x14ac:dyDescent="0.25">
      <c r="A66" s="12" t="s">
        <v>91</v>
      </c>
      <c r="B66" s="16" t="s">
        <v>92</v>
      </c>
      <c r="C66" s="14">
        <v>185000</v>
      </c>
      <c r="D66" s="18"/>
      <c r="E66" s="18"/>
    </row>
    <row r="67" spans="1:6" x14ac:dyDescent="0.25">
      <c r="A67" s="45" t="s">
        <v>93</v>
      </c>
      <c r="B67" s="46" t="s">
        <v>94</v>
      </c>
      <c r="C67" s="47">
        <v>150000</v>
      </c>
      <c r="D67" s="18"/>
      <c r="E67" s="18"/>
    </row>
    <row r="68" spans="1:6" x14ac:dyDescent="0.25">
      <c r="A68" s="12" t="s">
        <v>95</v>
      </c>
      <c r="B68" s="16" t="s">
        <v>96</v>
      </c>
      <c r="C68" s="14">
        <v>50000</v>
      </c>
      <c r="D68" s="18"/>
      <c r="E68" s="18"/>
    </row>
    <row r="69" spans="1:6" x14ac:dyDescent="0.25">
      <c r="A69" s="12" t="s">
        <v>95</v>
      </c>
      <c r="B69" s="16" t="s">
        <v>97</v>
      </c>
      <c r="C69" s="14">
        <v>100000</v>
      </c>
      <c r="D69" s="18"/>
      <c r="E69" s="18"/>
    </row>
    <row r="70" spans="1:6" x14ac:dyDescent="0.25">
      <c r="A70" s="12" t="s">
        <v>95</v>
      </c>
      <c r="B70" s="16" t="s">
        <v>98</v>
      </c>
      <c r="C70" s="14">
        <v>100000</v>
      </c>
      <c r="D70" s="18"/>
      <c r="E70" s="18"/>
    </row>
    <row r="71" spans="1:6" x14ac:dyDescent="0.25">
      <c r="A71" s="12" t="s">
        <v>95</v>
      </c>
      <c r="B71" s="16" t="s">
        <v>99</v>
      </c>
      <c r="C71" s="14">
        <v>50000</v>
      </c>
      <c r="D71" s="18"/>
      <c r="E71" s="18"/>
    </row>
    <row r="72" spans="1:6" s="52" customFormat="1" x14ac:dyDescent="0.25">
      <c r="A72" s="48" t="s">
        <v>95</v>
      </c>
      <c r="B72" s="49" t="s">
        <v>100</v>
      </c>
      <c r="C72" s="50">
        <v>278000</v>
      </c>
      <c r="D72" s="51"/>
      <c r="E72" s="51"/>
    </row>
    <row r="73" spans="1:6" x14ac:dyDescent="0.25">
      <c r="A73" s="12" t="s">
        <v>95</v>
      </c>
      <c r="B73" s="16" t="s">
        <v>101</v>
      </c>
      <c r="C73" s="14">
        <v>30000</v>
      </c>
      <c r="D73" s="18"/>
      <c r="E73" s="18"/>
    </row>
    <row r="74" spans="1:6" x14ac:dyDescent="0.25">
      <c r="A74" s="30" t="s">
        <v>38</v>
      </c>
      <c r="B74" s="31" t="s">
        <v>57</v>
      </c>
      <c r="C74" s="32">
        <f>SUM(C63,C66,C68:C71,C73)*0.27</f>
        <v>160650</v>
      </c>
      <c r="D74" s="18"/>
      <c r="E74" s="18"/>
    </row>
    <row r="75" spans="1:6" x14ac:dyDescent="0.25">
      <c r="A75" s="620" t="s">
        <v>102</v>
      </c>
      <c r="B75" s="621"/>
      <c r="C75" s="33">
        <f>SUM(C63:C73)</f>
        <v>1273000</v>
      </c>
      <c r="D75" s="34"/>
      <c r="E75" s="34"/>
      <c r="F75" s="35"/>
    </row>
    <row r="76" spans="1:6" ht="30" x14ac:dyDescent="0.25">
      <c r="A76" s="45" t="s">
        <v>103</v>
      </c>
      <c r="B76" s="53" t="s">
        <v>104</v>
      </c>
      <c r="C76" s="47">
        <v>80000</v>
      </c>
      <c r="D76" s="18"/>
      <c r="E76" s="18"/>
    </row>
    <row r="77" spans="1:6" x14ac:dyDescent="0.25">
      <c r="A77" s="30" t="s">
        <v>38</v>
      </c>
      <c r="B77" s="54" t="s">
        <v>105</v>
      </c>
      <c r="C77" s="32">
        <f>C46</f>
        <v>17280</v>
      </c>
      <c r="D77" s="18"/>
      <c r="E77" s="18"/>
    </row>
    <row r="78" spans="1:6" x14ac:dyDescent="0.25">
      <c r="A78" s="30" t="s">
        <v>38</v>
      </c>
      <c r="B78" s="31" t="s">
        <v>57</v>
      </c>
      <c r="C78" s="32">
        <f>SUM(C41,C47,C52,C55,C59,C74)</f>
        <v>8336747.3400000008</v>
      </c>
      <c r="D78" s="18"/>
      <c r="E78" s="18"/>
    </row>
    <row r="79" spans="1:6" x14ac:dyDescent="0.25">
      <c r="A79" s="30" t="s">
        <v>38</v>
      </c>
      <c r="B79" s="31" t="s">
        <v>106</v>
      </c>
      <c r="C79" s="32">
        <f>SUM(C29)</f>
        <v>4500</v>
      </c>
      <c r="D79" s="18"/>
      <c r="E79" s="18"/>
    </row>
    <row r="80" spans="1:6" ht="72" customHeight="1" x14ac:dyDescent="0.25">
      <c r="A80" s="45" t="s">
        <v>107</v>
      </c>
      <c r="B80" s="53" t="s">
        <v>108</v>
      </c>
      <c r="C80" s="47">
        <v>310000</v>
      </c>
      <c r="D80" s="18"/>
      <c r="E80" s="18"/>
    </row>
    <row r="81" spans="1:6" x14ac:dyDescent="0.25">
      <c r="A81" s="620" t="s">
        <v>109</v>
      </c>
      <c r="B81" s="621"/>
      <c r="C81" s="33">
        <f>SUM(C76:C80)</f>
        <v>8748527.3399999999</v>
      </c>
      <c r="D81" s="34"/>
      <c r="E81" s="34"/>
      <c r="F81" s="35"/>
    </row>
    <row r="82" spans="1:6" x14ac:dyDescent="0.25">
      <c r="A82" s="613" t="s">
        <v>110</v>
      </c>
      <c r="B82" s="614"/>
      <c r="C82" s="20">
        <f>SUM(C42,C48,C53,C56,C60,C62,C75,C81)</f>
        <v>40588369.340000004</v>
      </c>
      <c r="D82" s="21"/>
      <c r="E82" s="21"/>
      <c r="F82" s="22"/>
    </row>
    <row r="83" spans="1:6" ht="77.25" customHeight="1" x14ac:dyDescent="0.25">
      <c r="A83" s="12" t="s">
        <v>111</v>
      </c>
      <c r="B83" s="13" t="s">
        <v>112</v>
      </c>
      <c r="C83" s="14">
        <v>110000</v>
      </c>
      <c r="D83" s="18"/>
      <c r="E83" s="18"/>
    </row>
    <row r="84" spans="1:6" x14ac:dyDescent="0.25">
      <c r="A84" s="55" t="s">
        <v>113</v>
      </c>
      <c r="B84" s="56" t="s">
        <v>114</v>
      </c>
      <c r="C84" s="57">
        <f>C83*0.27</f>
        <v>29700.000000000004</v>
      </c>
      <c r="D84" s="18"/>
      <c r="E84" s="18"/>
    </row>
    <row r="85" spans="1:6" x14ac:dyDescent="0.25">
      <c r="A85" s="598" t="s">
        <v>115</v>
      </c>
      <c r="B85" s="599"/>
      <c r="C85" s="58">
        <f>SUM(C83:C84)</f>
        <v>139700</v>
      </c>
      <c r="D85" s="18"/>
      <c r="E85" s="18"/>
    </row>
    <row r="86" spans="1:6" x14ac:dyDescent="0.25">
      <c r="A86" s="12" t="s">
        <v>116</v>
      </c>
      <c r="B86" s="13" t="s">
        <v>117</v>
      </c>
      <c r="C86" s="14">
        <v>500000</v>
      </c>
      <c r="D86" s="18"/>
      <c r="E86" s="18"/>
    </row>
    <row r="87" spans="1:6" x14ac:dyDescent="0.25">
      <c r="A87" s="30" t="s">
        <v>118</v>
      </c>
      <c r="B87" s="31" t="s">
        <v>119</v>
      </c>
      <c r="C87" s="32">
        <f>C86*0.27</f>
        <v>135000</v>
      </c>
      <c r="D87" s="18"/>
      <c r="E87" s="18"/>
    </row>
    <row r="88" spans="1:6" x14ac:dyDescent="0.25">
      <c r="A88" s="613" t="s">
        <v>120</v>
      </c>
      <c r="B88" s="614"/>
      <c r="C88" s="20">
        <f>C86+C87</f>
        <v>635000</v>
      </c>
      <c r="D88" s="21"/>
      <c r="E88" s="21"/>
      <c r="F88" s="22"/>
    </row>
    <row r="89" spans="1:6" ht="19.5" thickBot="1" x14ac:dyDescent="0.35">
      <c r="A89" s="615" t="s">
        <v>121</v>
      </c>
      <c r="B89" s="616"/>
      <c r="C89" s="59">
        <f>SUM(C18,C25,C82,C85,C88)</f>
        <v>150851130.54000002</v>
      </c>
      <c r="D89" s="60"/>
      <c r="E89" s="60"/>
      <c r="F89" s="3"/>
    </row>
    <row r="90" spans="1:6" ht="16.5" thickTop="1" x14ac:dyDescent="0.25">
      <c r="A90" s="61"/>
      <c r="B90" s="61"/>
      <c r="C90" s="62"/>
      <c r="D90" s="3"/>
      <c r="E90" s="63"/>
      <c r="F90" s="3"/>
    </row>
    <row r="91" spans="1:6" ht="15.75" x14ac:dyDescent="0.25">
      <c r="A91" s="61"/>
      <c r="B91" s="61"/>
      <c r="C91" s="2"/>
      <c r="D91" s="3"/>
      <c r="E91" s="63"/>
      <c r="F91" s="3"/>
    </row>
    <row r="92" spans="1:6" ht="15.75" x14ac:dyDescent="0.25">
      <c r="A92" s="61"/>
      <c r="B92" s="61"/>
      <c r="C92" s="2"/>
      <c r="D92" s="3"/>
      <c r="E92" s="63"/>
      <c r="F92" s="3"/>
    </row>
    <row r="93" spans="1:6" ht="15.75" x14ac:dyDescent="0.25">
      <c r="A93" s="61"/>
      <c r="B93" s="61"/>
      <c r="C93" s="2"/>
      <c r="D93" s="3"/>
      <c r="E93" s="63"/>
      <c r="F93" s="3"/>
    </row>
    <row r="94" spans="1:6" ht="15.75" x14ac:dyDescent="0.25">
      <c r="A94" s="61"/>
      <c r="B94" s="64"/>
      <c r="C94" s="2"/>
      <c r="D94" s="3"/>
      <c r="E94" s="63"/>
      <c r="F94" s="3"/>
    </row>
    <row r="95" spans="1:6" ht="15.75" x14ac:dyDescent="0.25">
      <c r="A95" s="61"/>
      <c r="B95" s="64"/>
      <c r="C95" s="2"/>
      <c r="D95" s="3"/>
      <c r="E95" s="63"/>
      <c r="F95" s="3"/>
    </row>
    <row r="96" spans="1:6" ht="16.5" thickBot="1" x14ac:dyDescent="0.3">
      <c r="A96" s="61"/>
      <c r="B96" s="61"/>
      <c r="C96" s="2"/>
      <c r="D96" s="3"/>
      <c r="E96" s="63"/>
      <c r="F96" s="3"/>
    </row>
    <row r="97" spans="1:6" ht="20.25" thickTop="1" thickBot="1" x14ac:dyDescent="0.3">
      <c r="B97" s="65" t="s">
        <v>122</v>
      </c>
      <c r="C97" s="23"/>
      <c r="E97" s="66"/>
    </row>
    <row r="98" spans="1:6" ht="15.75" thickTop="1" x14ac:dyDescent="0.25">
      <c r="A98" s="8" t="s">
        <v>2</v>
      </c>
      <c r="B98" s="9" t="s">
        <v>3</v>
      </c>
      <c r="C98" s="10" t="s">
        <v>4</v>
      </c>
      <c r="D98" s="11"/>
      <c r="E98" s="67"/>
      <c r="F98" s="11"/>
    </row>
    <row r="99" spans="1:6" x14ac:dyDescent="0.25">
      <c r="A99" s="16" t="s">
        <v>5</v>
      </c>
      <c r="B99" s="16" t="s">
        <v>123</v>
      </c>
      <c r="C99" s="14">
        <v>5415000</v>
      </c>
      <c r="D99" s="17"/>
      <c r="E99" s="66"/>
    </row>
    <row r="100" spans="1:6" x14ac:dyDescent="0.25">
      <c r="A100" s="16" t="s">
        <v>124</v>
      </c>
      <c r="B100" s="16" t="s">
        <v>125</v>
      </c>
      <c r="C100" s="14">
        <v>240000</v>
      </c>
      <c r="D100" s="17"/>
      <c r="E100" s="66"/>
    </row>
    <row r="101" spans="1:6" x14ac:dyDescent="0.25">
      <c r="A101" s="614" t="s">
        <v>23</v>
      </c>
      <c r="B101" s="614"/>
      <c r="C101" s="20">
        <f>SUM(C99:C100)</f>
        <v>5655000</v>
      </c>
      <c r="D101" s="17"/>
      <c r="E101" s="68"/>
      <c r="F101" s="22"/>
    </row>
    <row r="102" spans="1:6" x14ac:dyDescent="0.25">
      <c r="A102" s="16" t="s">
        <v>26</v>
      </c>
      <c r="B102" s="16" t="s">
        <v>126</v>
      </c>
      <c r="C102" s="14">
        <f>SUM(C99:C100)*0.2</f>
        <v>1131000</v>
      </c>
      <c r="E102" s="66"/>
    </row>
    <row r="103" spans="1:6" x14ac:dyDescent="0.25">
      <c r="A103" s="614" t="s">
        <v>32</v>
      </c>
      <c r="B103" s="614"/>
      <c r="C103" s="20">
        <f>SUM(C102)</f>
        <v>1131000</v>
      </c>
      <c r="D103" s="22"/>
      <c r="E103" s="68"/>
      <c r="F103" s="22"/>
    </row>
    <row r="104" spans="1:6" x14ac:dyDescent="0.25">
      <c r="A104" s="12" t="s">
        <v>127</v>
      </c>
      <c r="B104" s="16" t="s">
        <v>128</v>
      </c>
      <c r="C104" s="14">
        <v>0</v>
      </c>
      <c r="E104" s="66"/>
    </row>
    <row r="105" spans="1:6" x14ac:dyDescent="0.25">
      <c r="A105" s="12" t="s">
        <v>129</v>
      </c>
      <c r="B105" s="16" t="s">
        <v>130</v>
      </c>
      <c r="C105" s="14">
        <v>0</v>
      </c>
      <c r="E105" s="66"/>
    </row>
    <row r="106" spans="1:6" x14ac:dyDescent="0.25">
      <c r="A106" s="12" t="s">
        <v>50</v>
      </c>
      <c r="B106" s="16" t="s">
        <v>131</v>
      </c>
      <c r="C106" s="14">
        <v>0</v>
      </c>
      <c r="E106" s="66"/>
    </row>
    <row r="107" spans="1:6" x14ac:dyDescent="0.25">
      <c r="A107" s="12" t="s">
        <v>61</v>
      </c>
      <c r="B107" s="69" t="s">
        <v>132</v>
      </c>
      <c r="C107" s="70">
        <v>0</v>
      </c>
      <c r="E107" s="66"/>
    </row>
    <row r="108" spans="1:6" x14ac:dyDescent="0.25">
      <c r="A108" s="12" t="s">
        <v>67</v>
      </c>
      <c r="B108" s="69" t="s">
        <v>133</v>
      </c>
      <c r="C108" s="70">
        <v>0</v>
      </c>
      <c r="E108" s="66"/>
    </row>
    <row r="109" spans="1:6" x14ac:dyDescent="0.25">
      <c r="A109" s="12" t="s">
        <v>69</v>
      </c>
      <c r="B109" s="16" t="s">
        <v>134</v>
      </c>
      <c r="C109" s="14">
        <v>0</v>
      </c>
      <c r="E109" s="66"/>
    </row>
    <row r="110" spans="1:6" x14ac:dyDescent="0.25">
      <c r="A110" s="12" t="s">
        <v>71</v>
      </c>
      <c r="B110" s="16" t="s">
        <v>135</v>
      </c>
      <c r="C110" s="14">
        <v>0</v>
      </c>
      <c r="E110" s="66"/>
    </row>
    <row r="111" spans="1:6" x14ac:dyDescent="0.25">
      <c r="A111" s="71" t="s">
        <v>74</v>
      </c>
      <c r="B111" s="72" t="s">
        <v>136</v>
      </c>
      <c r="C111" s="73">
        <v>0</v>
      </c>
      <c r="E111" s="66"/>
    </row>
    <row r="112" spans="1:6" x14ac:dyDescent="0.25">
      <c r="A112" s="12" t="s">
        <v>74</v>
      </c>
      <c r="B112" s="16" t="s">
        <v>137</v>
      </c>
      <c r="C112" s="14">
        <v>0</v>
      </c>
      <c r="E112" s="66"/>
    </row>
    <row r="113" spans="1:6" x14ac:dyDescent="0.25">
      <c r="A113" s="12" t="s">
        <v>79</v>
      </c>
      <c r="B113" s="16" t="s">
        <v>138</v>
      </c>
      <c r="C113" s="14">
        <v>0</v>
      </c>
      <c r="E113" s="66"/>
    </row>
    <row r="114" spans="1:6" x14ac:dyDescent="0.25">
      <c r="A114" s="12" t="s">
        <v>83</v>
      </c>
      <c r="B114" s="16" t="s">
        <v>139</v>
      </c>
      <c r="C114" s="14">
        <v>0</v>
      </c>
      <c r="E114" s="66"/>
    </row>
    <row r="115" spans="1:6" x14ac:dyDescent="0.25">
      <c r="A115" s="12" t="s">
        <v>91</v>
      </c>
      <c r="B115" s="16" t="s">
        <v>140</v>
      </c>
      <c r="C115" s="14">
        <v>0</v>
      </c>
      <c r="E115" s="66"/>
    </row>
    <row r="116" spans="1:6" x14ac:dyDescent="0.25">
      <c r="A116" s="12" t="s">
        <v>91</v>
      </c>
      <c r="B116" s="16" t="s">
        <v>141</v>
      </c>
      <c r="C116" s="14">
        <v>0</v>
      </c>
      <c r="E116" s="66"/>
    </row>
    <row r="117" spans="1:6" x14ac:dyDescent="0.25">
      <c r="A117" s="12" t="s">
        <v>93</v>
      </c>
      <c r="B117" s="16" t="s">
        <v>142</v>
      </c>
      <c r="C117" s="14">
        <v>0</v>
      </c>
      <c r="E117" s="66"/>
    </row>
    <row r="118" spans="1:6" x14ac:dyDescent="0.25">
      <c r="A118" s="12" t="s">
        <v>103</v>
      </c>
      <c r="B118" s="16" t="s">
        <v>143</v>
      </c>
      <c r="C118" s="14">
        <v>0</v>
      </c>
      <c r="E118" s="66"/>
    </row>
    <row r="119" spans="1:6" x14ac:dyDescent="0.25">
      <c r="A119" s="74" t="s">
        <v>38</v>
      </c>
      <c r="B119" s="75" t="s">
        <v>65</v>
      </c>
      <c r="C119" s="76">
        <f>C111*0.18</f>
        <v>0</v>
      </c>
      <c r="E119" s="66"/>
    </row>
    <row r="120" spans="1:6" x14ac:dyDescent="0.25">
      <c r="A120" s="12" t="s">
        <v>38</v>
      </c>
      <c r="B120" s="16" t="s">
        <v>57</v>
      </c>
      <c r="C120" s="14">
        <f>C112*0.27</f>
        <v>0</v>
      </c>
      <c r="E120" s="66"/>
    </row>
    <row r="121" spans="1:6" x14ac:dyDescent="0.25">
      <c r="A121" s="596" t="s">
        <v>110</v>
      </c>
      <c r="B121" s="597"/>
      <c r="C121" s="20">
        <f>SUM(C104:C120)</f>
        <v>0</v>
      </c>
      <c r="D121" s="22"/>
      <c r="E121" s="68"/>
      <c r="F121" s="22"/>
    </row>
    <row r="122" spans="1:6" ht="19.5" thickBot="1" x14ac:dyDescent="0.35">
      <c r="A122" s="617" t="s">
        <v>144</v>
      </c>
      <c r="B122" s="618"/>
      <c r="C122" s="77">
        <f>SUM(C101,C103,C121)</f>
        <v>6786000</v>
      </c>
      <c r="D122" s="78">
        <v>6245112</v>
      </c>
      <c r="E122" s="63"/>
      <c r="F122" s="3"/>
    </row>
    <row r="123" spans="1:6" ht="19.5" thickTop="1" x14ac:dyDescent="0.3">
      <c r="A123" s="79"/>
      <c r="B123" s="79"/>
      <c r="C123" s="80"/>
      <c r="D123" s="3"/>
      <c r="E123" s="63"/>
      <c r="F123" s="3"/>
    </row>
    <row r="124" spans="1:6" ht="16.5" thickBot="1" x14ac:dyDescent="0.3">
      <c r="A124" s="61"/>
      <c r="B124" s="61"/>
      <c r="C124" s="2"/>
      <c r="D124" s="3"/>
      <c r="E124" s="63"/>
      <c r="F124" s="3"/>
    </row>
    <row r="125" spans="1:6" ht="20.25" thickTop="1" thickBot="1" x14ac:dyDescent="0.3">
      <c r="B125" s="65" t="s">
        <v>145</v>
      </c>
      <c r="C125" s="23"/>
      <c r="E125" s="66"/>
    </row>
    <row r="126" spans="1:6" ht="15.75" thickTop="1" x14ac:dyDescent="0.25">
      <c r="A126" s="8" t="s">
        <v>2</v>
      </c>
      <c r="B126" s="9" t="s">
        <v>3</v>
      </c>
      <c r="C126" s="81" t="s">
        <v>4</v>
      </c>
      <c r="D126" s="11"/>
      <c r="E126" s="67"/>
      <c r="F126" s="11"/>
    </row>
    <row r="127" spans="1:6" ht="59.25" customHeight="1" x14ac:dyDescent="0.25">
      <c r="A127" s="82" t="s">
        <v>5</v>
      </c>
      <c r="B127" s="13" t="s">
        <v>146</v>
      </c>
      <c r="C127" s="14">
        <v>6899544</v>
      </c>
      <c r="D127" s="17"/>
      <c r="E127" s="66"/>
    </row>
    <row r="128" spans="1:6" x14ac:dyDescent="0.25">
      <c r="A128" s="82" t="s">
        <v>5</v>
      </c>
      <c r="B128" s="13" t="s">
        <v>147</v>
      </c>
      <c r="C128" s="14">
        <v>283392</v>
      </c>
      <c r="D128" s="17"/>
      <c r="E128" s="66"/>
    </row>
    <row r="129" spans="1:6" ht="60" customHeight="1" x14ac:dyDescent="0.25">
      <c r="A129" s="82" t="s">
        <v>5</v>
      </c>
      <c r="B129" s="13" t="s">
        <v>148</v>
      </c>
      <c r="C129" s="14">
        <v>97112</v>
      </c>
      <c r="D129" s="17"/>
    </row>
    <row r="130" spans="1:6" x14ac:dyDescent="0.25">
      <c r="A130" s="82" t="s">
        <v>13</v>
      </c>
      <c r="B130" s="13" t="s">
        <v>149</v>
      </c>
      <c r="C130" s="14">
        <v>150000</v>
      </c>
      <c r="D130" s="17"/>
    </row>
    <row r="131" spans="1:6" x14ac:dyDescent="0.25">
      <c r="A131" s="82" t="s">
        <v>15</v>
      </c>
      <c r="B131" s="13" t="s">
        <v>16</v>
      </c>
      <c r="C131" s="14">
        <v>1000</v>
      </c>
    </row>
    <row r="132" spans="1:6" x14ac:dyDescent="0.25">
      <c r="A132" s="82" t="s">
        <v>15</v>
      </c>
      <c r="B132" s="13" t="s">
        <v>150</v>
      </c>
      <c r="C132" s="14">
        <v>36000</v>
      </c>
    </row>
    <row r="133" spans="1:6" ht="15" customHeight="1" x14ac:dyDescent="0.25">
      <c r="A133" s="602" t="s">
        <v>23</v>
      </c>
      <c r="B133" s="603"/>
      <c r="C133" s="20">
        <f>SUM(C127:C132)</f>
        <v>7467048</v>
      </c>
      <c r="D133" s="22"/>
      <c r="E133" s="22"/>
      <c r="F133" s="22"/>
    </row>
    <row r="134" spans="1:6" x14ac:dyDescent="0.25">
      <c r="A134" s="82"/>
      <c r="B134" s="13" t="s">
        <v>151</v>
      </c>
      <c r="C134" s="14">
        <f>SUM(C127:C129,C132)*0.2</f>
        <v>1463209.6</v>
      </c>
    </row>
    <row r="135" spans="1:6" x14ac:dyDescent="0.25">
      <c r="A135" s="82"/>
      <c r="B135" s="13" t="s">
        <v>29</v>
      </c>
      <c r="C135" s="14">
        <v>314</v>
      </c>
    </row>
    <row r="136" spans="1:6" x14ac:dyDescent="0.25">
      <c r="A136" s="82"/>
      <c r="B136" s="13" t="s">
        <v>30</v>
      </c>
      <c r="C136" s="14">
        <v>215</v>
      </c>
    </row>
    <row r="137" spans="1:6" ht="15" customHeight="1" x14ac:dyDescent="0.25">
      <c r="A137" s="602" t="s">
        <v>32</v>
      </c>
      <c r="B137" s="603"/>
      <c r="C137" s="20">
        <f>SUM(C134:C136)</f>
        <v>1463738.6</v>
      </c>
      <c r="D137" s="22"/>
      <c r="E137" s="22"/>
      <c r="F137" s="22"/>
    </row>
    <row r="138" spans="1:6" x14ac:dyDescent="0.25">
      <c r="A138" s="82" t="s">
        <v>127</v>
      </c>
      <c r="B138" s="13" t="s">
        <v>152</v>
      </c>
      <c r="C138" s="14">
        <v>50000</v>
      </c>
      <c r="D138" s="22"/>
      <c r="E138" s="22"/>
      <c r="F138" s="22"/>
    </row>
    <row r="139" spans="1:6" x14ac:dyDescent="0.25">
      <c r="A139" s="82" t="s">
        <v>33</v>
      </c>
      <c r="B139" s="13" t="s">
        <v>34</v>
      </c>
      <c r="C139" s="14">
        <v>15000</v>
      </c>
    </row>
    <row r="140" spans="1:6" x14ac:dyDescent="0.25">
      <c r="A140" s="82" t="s">
        <v>43</v>
      </c>
      <c r="B140" s="13" t="s">
        <v>44</v>
      </c>
      <c r="C140" s="14">
        <v>15000</v>
      </c>
    </row>
    <row r="141" spans="1:6" x14ac:dyDescent="0.25">
      <c r="A141" s="82" t="s">
        <v>50</v>
      </c>
      <c r="B141" s="13" t="s">
        <v>153</v>
      </c>
      <c r="C141" s="14">
        <v>30000</v>
      </c>
    </row>
    <row r="142" spans="1:6" x14ac:dyDescent="0.25">
      <c r="A142" s="82" t="s">
        <v>52</v>
      </c>
      <c r="B142" s="13" t="s">
        <v>154</v>
      </c>
      <c r="C142" s="14">
        <v>60000</v>
      </c>
    </row>
    <row r="143" spans="1:6" ht="30" x14ac:dyDescent="0.25">
      <c r="A143" s="82" t="s">
        <v>52</v>
      </c>
      <c r="B143" s="13" t="s">
        <v>155</v>
      </c>
      <c r="C143" s="14">
        <v>21260</v>
      </c>
    </row>
    <row r="144" spans="1:6" x14ac:dyDescent="0.25">
      <c r="A144" s="594" t="s">
        <v>58</v>
      </c>
      <c r="B144" s="595"/>
      <c r="C144" s="33">
        <f>SUM(C138:C143)</f>
        <v>191260</v>
      </c>
      <c r="D144" s="35"/>
      <c r="E144" s="35"/>
      <c r="F144" s="35"/>
    </row>
    <row r="145" spans="1:6" x14ac:dyDescent="0.25">
      <c r="A145" s="83" t="s">
        <v>38</v>
      </c>
      <c r="B145" s="56" t="s">
        <v>57</v>
      </c>
      <c r="C145" s="57">
        <f>SUM(C138:C143)*0.27</f>
        <v>51640.200000000004</v>
      </c>
      <c r="D145" s="35"/>
      <c r="E145" s="35"/>
      <c r="F145" s="35"/>
    </row>
    <row r="146" spans="1:6" x14ac:dyDescent="0.25">
      <c r="A146" s="82" t="s">
        <v>63</v>
      </c>
      <c r="B146" s="13" t="s">
        <v>156</v>
      </c>
      <c r="C146" s="14">
        <v>6000</v>
      </c>
    </row>
    <row r="147" spans="1:6" x14ac:dyDescent="0.25">
      <c r="A147" s="594" t="s">
        <v>66</v>
      </c>
      <c r="B147" s="595"/>
      <c r="C147" s="33">
        <f>SUM(C146:C146)</f>
        <v>6000</v>
      </c>
      <c r="D147" s="35"/>
      <c r="E147" s="35"/>
      <c r="F147" s="35"/>
    </row>
    <row r="148" spans="1:6" x14ac:dyDescent="0.25">
      <c r="A148" s="39" t="s">
        <v>74</v>
      </c>
      <c r="B148" s="13" t="s">
        <v>157</v>
      </c>
      <c r="C148" s="84">
        <f>1060905+204910</f>
        <v>1265815</v>
      </c>
      <c r="D148" s="35"/>
      <c r="E148" s="35"/>
      <c r="F148" s="35"/>
    </row>
    <row r="149" spans="1:6" x14ac:dyDescent="0.25">
      <c r="A149" s="85" t="s">
        <v>38</v>
      </c>
      <c r="B149" s="86" t="s">
        <v>77</v>
      </c>
      <c r="C149" s="87">
        <f>SUM(C148)*0.27</f>
        <v>341770.05000000005</v>
      </c>
      <c r="D149" s="35"/>
      <c r="E149" s="35"/>
      <c r="F149" s="35"/>
    </row>
    <row r="150" spans="1:6" x14ac:dyDescent="0.25">
      <c r="A150" s="88"/>
      <c r="B150" s="44" t="s">
        <v>158</v>
      </c>
      <c r="C150" s="33">
        <f>SUM(C148)</f>
        <v>1265815</v>
      </c>
      <c r="D150" s="35"/>
      <c r="E150" s="35"/>
      <c r="F150" s="35"/>
    </row>
    <row r="151" spans="1:6" x14ac:dyDescent="0.25">
      <c r="A151" s="89" t="s">
        <v>83</v>
      </c>
      <c r="B151" s="53" t="s">
        <v>159</v>
      </c>
      <c r="C151" s="47">
        <v>9900</v>
      </c>
    </row>
    <row r="152" spans="1:6" x14ac:dyDescent="0.25">
      <c r="A152" s="89" t="s">
        <v>93</v>
      </c>
      <c r="B152" s="53" t="s">
        <v>94</v>
      </c>
      <c r="C152" s="47">
        <v>50000</v>
      </c>
    </row>
    <row r="153" spans="1:6" x14ac:dyDescent="0.25">
      <c r="A153" s="594" t="s">
        <v>85</v>
      </c>
      <c r="B153" s="595"/>
      <c r="C153" s="33">
        <f>SUM(C151:C152)</f>
        <v>59900</v>
      </c>
      <c r="D153" s="35"/>
      <c r="E153" s="35"/>
      <c r="F153" s="35"/>
    </row>
    <row r="154" spans="1:6" x14ac:dyDescent="0.25">
      <c r="A154" s="83" t="s">
        <v>38</v>
      </c>
      <c r="B154" s="56" t="s">
        <v>160</v>
      </c>
      <c r="C154" s="57">
        <f>SUM(C145+C149)</f>
        <v>393410.25000000006</v>
      </c>
      <c r="E154" s="18"/>
    </row>
    <row r="155" spans="1:6" x14ac:dyDescent="0.25">
      <c r="A155" s="596" t="s">
        <v>110</v>
      </c>
      <c r="B155" s="597"/>
      <c r="C155" s="20">
        <f>SUM(C153,C150,C147,C144,C154)</f>
        <v>1916385.25</v>
      </c>
      <c r="D155" s="35"/>
      <c r="E155" s="35"/>
      <c r="F155" s="35"/>
    </row>
    <row r="156" spans="1:6" ht="45" customHeight="1" x14ac:dyDescent="0.25">
      <c r="A156" s="12" t="s">
        <v>111</v>
      </c>
      <c r="B156" s="13" t="s">
        <v>161</v>
      </c>
      <c r="C156" s="14">
        <v>100000</v>
      </c>
      <c r="D156" s="18"/>
      <c r="E156" s="18"/>
    </row>
    <row r="157" spans="1:6" x14ac:dyDescent="0.25">
      <c r="A157" s="55" t="s">
        <v>113</v>
      </c>
      <c r="B157" s="56" t="s">
        <v>114</v>
      </c>
      <c r="C157" s="57">
        <f>C156*0.27</f>
        <v>27000</v>
      </c>
      <c r="D157" s="18"/>
      <c r="E157" s="18"/>
    </row>
    <row r="158" spans="1:6" x14ac:dyDescent="0.25">
      <c r="A158" s="598" t="s">
        <v>115</v>
      </c>
      <c r="B158" s="599"/>
      <c r="C158" s="58">
        <f>SUM(C156:C157)</f>
        <v>127000</v>
      </c>
      <c r="D158" s="18"/>
      <c r="E158" s="18"/>
    </row>
    <row r="159" spans="1:6" ht="19.5" thickBot="1" x14ac:dyDescent="0.35">
      <c r="A159" s="600" t="s">
        <v>162</v>
      </c>
      <c r="B159" s="601"/>
      <c r="C159" s="59">
        <f>SUM(C158,C155,C137,C133)-1</f>
        <v>10974170.85</v>
      </c>
      <c r="D159" s="3"/>
      <c r="E159" s="63"/>
      <c r="F159" s="3"/>
    </row>
    <row r="160" spans="1:6" ht="15.75" thickTop="1" x14ac:dyDescent="0.25">
      <c r="C160" s="23"/>
    </row>
    <row r="161" spans="1:6" x14ac:dyDescent="0.25">
      <c r="C161" s="23"/>
    </row>
    <row r="162" spans="1:6" ht="15.75" x14ac:dyDescent="0.25">
      <c r="A162" s="612"/>
      <c r="B162" s="612"/>
      <c r="C162" s="90"/>
      <c r="D162" s="91"/>
      <c r="E162" s="91"/>
      <c r="F162" s="91"/>
    </row>
    <row r="163" spans="1:6" ht="15.75" thickBot="1" x14ac:dyDescent="0.3"/>
    <row r="164" spans="1:6" ht="22.5" thickTop="1" thickBot="1" x14ac:dyDescent="0.3">
      <c r="B164" s="92" t="s">
        <v>163</v>
      </c>
    </row>
    <row r="165" spans="1:6" ht="15.75" thickTop="1" x14ac:dyDescent="0.25">
      <c r="A165" s="8" t="s">
        <v>2</v>
      </c>
      <c r="B165" s="9" t="s">
        <v>3</v>
      </c>
      <c r="C165" s="81" t="s">
        <v>4</v>
      </c>
    </row>
    <row r="166" spans="1:6" ht="30" x14ac:dyDescent="0.25">
      <c r="A166" s="93" t="s">
        <v>5</v>
      </c>
      <c r="B166" s="94" t="s">
        <v>164</v>
      </c>
      <c r="C166" s="95">
        <f>10495200+24000</f>
        <v>10519200</v>
      </c>
      <c r="D166" t="s">
        <v>165</v>
      </c>
    </row>
    <row r="167" spans="1:6" x14ac:dyDescent="0.25">
      <c r="A167" s="93" t="s">
        <v>5</v>
      </c>
      <c r="B167" s="96" t="s">
        <v>166</v>
      </c>
      <c r="C167" s="95">
        <v>4418340</v>
      </c>
    </row>
    <row r="168" spans="1:6" ht="33" customHeight="1" x14ac:dyDescent="0.25">
      <c r="A168" s="93" t="s">
        <v>5</v>
      </c>
      <c r="B168" s="94" t="s">
        <v>167</v>
      </c>
      <c r="C168" s="95">
        <v>240000</v>
      </c>
      <c r="D168" t="s">
        <v>168</v>
      </c>
    </row>
    <row r="169" spans="1:6" x14ac:dyDescent="0.25">
      <c r="A169" s="93" t="s">
        <v>169</v>
      </c>
      <c r="B169" s="13" t="s">
        <v>170</v>
      </c>
      <c r="C169" s="95">
        <v>1300000</v>
      </c>
    </row>
    <row r="170" spans="1:6" x14ac:dyDescent="0.25">
      <c r="A170" s="93" t="s">
        <v>12</v>
      </c>
      <c r="B170" s="13" t="s">
        <v>171</v>
      </c>
      <c r="C170" s="95">
        <v>732324</v>
      </c>
    </row>
    <row r="171" spans="1:6" x14ac:dyDescent="0.25">
      <c r="A171" s="93" t="s">
        <v>13</v>
      </c>
      <c r="B171" s="96" t="s">
        <v>172</v>
      </c>
      <c r="C171" s="95">
        <v>20000</v>
      </c>
    </row>
    <row r="172" spans="1:6" x14ac:dyDescent="0.25">
      <c r="A172" s="93" t="s">
        <v>15</v>
      </c>
      <c r="B172" s="96" t="s">
        <v>16</v>
      </c>
      <c r="C172" s="95">
        <v>15000</v>
      </c>
    </row>
    <row r="173" spans="1:6" x14ac:dyDescent="0.25">
      <c r="A173" s="93" t="s">
        <v>15</v>
      </c>
      <c r="B173" s="96" t="s">
        <v>173</v>
      </c>
      <c r="C173" s="95">
        <v>60000</v>
      </c>
    </row>
    <row r="174" spans="1:6" ht="15.75" x14ac:dyDescent="0.25">
      <c r="A174" s="606" t="s">
        <v>23</v>
      </c>
      <c r="B174" s="607"/>
      <c r="C174" s="97">
        <f>SUM(C166:C173)</f>
        <v>17304864</v>
      </c>
    </row>
    <row r="175" spans="1:6" x14ac:dyDescent="0.25">
      <c r="A175" s="93" t="s">
        <v>24</v>
      </c>
      <c r="B175" s="96" t="s">
        <v>25</v>
      </c>
      <c r="C175" s="95">
        <f>SUM(C166:C169,C173)*0.2</f>
        <v>3307508</v>
      </c>
    </row>
    <row r="176" spans="1:6" x14ac:dyDescent="0.25">
      <c r="A176" s="93"/>
      <c r="B176" s="96" t="s">
        <v>174</v>
      </c>
      <c r="C176" s="95">
        <f>C170*0.2</f>
        <v>146464.80000000002</v>
      </c>
    </row>
    <row r="177" spans="1:4" x14ac:dyDescent="0.25">
      <c r="A177" s="93"/>
      <c r="B177" s="96" t="s">
        <v>29</v>
      </c>
      <c r="C177" s="95">
        <v>4800</v>
      </c>
    </row>
    <row r="178" spans="1:4" x14ac:dyDescent="0.25">
      <c r="A178" s="93"/>
      <c r="B178" s="96" t="s">
        <v>30</v>
      </c>
      <c r="C178" s="95">
        <v>3465</v>
      </c>
    </row>
    <row r="179" spans="1:4" ht="15.75" x14ac:dyDescent="0.25">
      <c r="A179" s="606" t="s">
        <v>32</v>
      </c>
      <c r="B179" s="607"/>
      <c r="C179" s="97">
        <f>SUM(C175:C178)</f>
        <v>3462237.8</v>
      </c>
    </row>
    <row r="180" spans="1:4" x14ac:dyDescent="0.25">
      <c r="A180" s="93" t="s">
        <v>33</v>
      </c>
      <c r="B180" s="96" t="s">
        <v>44</v>
      </c>
      <c r="C180" s="95">
        <v>55000</v>
      </c>
    </row>
    <row r="181" spans="1:4" x14ac:dyDescent="0.25">
      <c r="A181" s="98" t="s">
        <v>127</v>
      </c>
      <c r="B181" s="99" t="s">
        <v>175</v>
      </c>
      <c r="C181" s="100">
        <v>30000</v>
      </c>
    </row>
    <row r="182" spans="1:4" x14ac:dyDescent="0.25">
      <c r="A182" s="93" t="s">
        <v>45</v>
      </c>
      <c r="B182" s="94" t="s">
        <v>46</v>
      </c>
      <c r="C182" s="95">
        <v>175000</v>
      </c>
      <c r="D182" t="s">
        <v>176</v>
      </c>
    </row>
    <row r="183" spans="1:4" x14ac:dyDescent="0.25">
      <c r="A183" s="93" t="s">
        <v>45</v>
      </c>
      <c r="B183" s="94" t="s">
        <v>47</v>
      </c>
      <c r="C183" s="95">
        <v>35000</v>
      </c>
    </row>
    <row r="184" spans="1:4" x14ac:dyDescent="0.25">
      <c r="A184" s="93" t="s">
        <v>48</v>
      </c>
      <c r="B184" s="101" t="s">
        <v>177</v>
      </c>
      <c r="C184" s="102">
        <v>250000</v>
      </c>
    </row>
    <row r="185" spans="1:4" ht="30" x14ac:dyDescent="0.25">
      <c r="A185" s="93" t="s">
        <v>50</v>
      </c>
      <c r="B185" s="101" t="s">
        <v>178</v>
      </c>
      <c r="C185" s="102">
        <v>90000</v>
      </c>
    </row>
    <row r="186" spans="1:4" x14ac:dyDescent="0.25">
      <c r="A186" s="93" t="s">
        <v>52</v>
      </c>
      <c r="B186" s="94" t="s">
        <v>179</v>
      </c>
      <c r="C186" s="103">
        <v>65000</v>
      </c>
    </row>
    <row r="187" spans="1:4" x14ac:dyDescent="0.25">
      <c r="A187" s="93" t="s">
        <v>52</v>
      </c>
      <c r="B187" s="94" t="s">
        <v>55</v>
      </c>
      <c r="C187" s="103">
        <v>100000</v>
      </c>
    </row>
    <row r="188" spans="1:4" x14ac:dyDescent="0.25">
      <c r="A188" s="93" t="s">
        <v>52</v>
      </c>
      <c r="B188" s="94" t="s">
        <v>180</v>
      </c>
      <c r="C188" s="103">
        <v>150000</v>
      </c>
    </row>
    <row r="189" spans="1:4" x14ac:dyDescent="0.25">
      <c r="A189" s="104" t="s">
        <v>38</v>
      </c>
      <c r="B189" s="56" t="s">
        <v>57</v>
      </c>
      <c r="C189" s="105">
        <f>SUM(C180,C182:C188)*0.27</f>
        <v>248400.00000000003</v>
      </c>
    </row>
    <row r="190" spans="1:4" x14ac:dyDescent="0.25">
      <c r="A190" s="98" t="s">
        <v>38</v>
      </c>
      <c r="B190" s="106" t="s">
        <v>106</v>
      </c>
      <c r="C190" s="107">
        <f>SUM(C181)*0.05</f>
        <v>1500</v>
      </c>
    </row>
    <row r="191" spans="1:4" x14ac:dyDescent="0.25">
      <c r="A191" s="604" t="s">
        <v>58</v>
      </c>
      <c r="B191" s="605"/>
      <c r="C191" s="108">
        <f>SUM(C180:C188)</f>
        <v>950000</v>
      </c>
    </row>
    <row r="192" spans="1:4" x14ac:dyDescent="0.25">
      <c r="A192" s="93" t="s">
        <v>59</v>
      </c>
      <c r="B192" s="13" t="s">
        <v>181</v>
      </c>
      <c r="C192" s="109">
        <v>36000</v>
      </c>
    </row>
    <row r="193" spans="1:4" x14ac:dyDescent="0.25">
      <c r="A193" s="110" t="s">
        <v>61</v>
      </c>
      <c r="B193" s="111" t="s">
        <v>182</v>
      </c>
      <c r="C193" s="112">
        <v>90000</v>
      </c>
    </row>
    <row r="194" spans="1:4" x14ac:dyDescent="0.25">
      <c r="A194" s="93" t="s">
        <v>63</v>
      </c>
      <c r="B194" s="96" t="s">
        <v>183</v>
      </c>
      <c r="C194" s="109">
        <f>79200+2080</f>
        <v>81280</v>
      </c>
    </row>
    <row r="195" spans="1:4" x14ac:dyDescent="0.25">
      <c r="A195" s="104" t="s">
        <v>38</v>
      </c>
      <c r="B195" s="56" t="s">
        <v>65</v>
      </c>
      <c r="C195" s="113">
        <f>C192*0.18</f>
        <v>6480</v>
      </c>
    </row>
    <row r="196" spans="1:4" x14ac:dyDescent="0.25">
      <c r="A196" s="104" t="s">
        <v>38</v>
      </c>
      <c r="B196" s="56" t="s">
        <v>57</v>
      </c>
      <c r="C196" s="113">
        <f>SUM(C193:C194)*0.27</f>
        <v>46245.600000000006</v>
      </c>
    </row>
    <row r="197" spans="1:4" x14ac:dyDescent="0.25">
      <c r="A197" s="604" t="s">
        <v>66</v>
      </c>
      <c r="B197" s="605"/>
      <c r="C197" s="114">
        <f>SUM(C192:C194)</f>
        <v>207280</v>
      </c>
    </row>
    <row r="198" spans="1:4" x14ac:dyDescent="0.25">
      <c r="A198" s="93" t="s">
        <v>69</v>
      </c>
      <c r="B198" s="96" t="s">
        <v>68</v>
      </c>
      <c r="C198" s="109">
        <v>400000</v>
      </c>
    </row>
    <row r="199" spans="1:4" x14ac:dyDescent="0.25">
      <c r="A199" s="93" t="s">
        <v>67</v>
      </c>
      <c r="B199" s="96" t="s">
        <v>70</v>
      </c>
      <c r="C199" s="109">
        <v>225000</v>
      </c>
    </row>
    <row r="200" spans="1:4" x14ac:dyDescent="0.25">
      <c r="A200" s="93" t="s">
        <v>71</v>
      </c>
      <c r="B200" s="96" t="s">
        <v>72</v>
      </c>
      <c r="C200" s="109">
        <v>165000</v>
      </c>
    </row>
    <row r="201" spans="1:4" x14ac:dyDescent="0.25">
      <c r="A201" s="104" t="s">
        <v>38</v>
      </c>
      <c r="B201" s="56" t="s">
        <v>57</v>
      </c>
      <c r="C201" s="113">
        <f>SUM(C198:C200)*0.27</f>
        <v>213300</v>
      </c>
    </row>
    <row r="202" spans="1:4" x14ac:dyDescent="0.25">
      <c r="A202" s="604" t="s">
        <v>73</v>
      </c>
      <c r="B202" s="605"/>
      <c r="C202" s="114">
        <f>SUM(C198:C200)</f>
        <v>790000</v>
      </c>
    </row>
    <row r="203" spans="1:4" x14ac:dyDescent="0.25">
      <c r="A203" s="93" t="s">
        <v>79</v>
      </c>
      <c r="B203" s="96" t="s">
        <v>184</v>
      </c>
      <c r="C203" s="109">
        <v>100000</v>
      </c>
    </row>
    <row r="204" spans="1:4" x14ac:dyDescent="0.25">
      <c r="A204" s="93" t="s">
        <v>79</v>
      </c>
      <c r="B204" s="96" t="s">
        <v>185</v>
      </c>
      <c r="C204" s="109">
        <v>100000</v>
      </c>
    </row>
    <row r="205" spans="1:4" x14ac:dyDescent="0.25">
      <c r="A205" s="104" t="s">
        <v>38</v>
      </c>
      <c r="B205" s="56" t="s">
        <v>57</v>
      </c>
      <c r="C205" s="115">
        <f>SUM(C203+C204)*0.27</f>
        <v>54000</v>
      </c>
    </row>
    <row r="206" spans="1:4" x14ac:dyDescent="0.25">
      <c r="A206" s="604" t="s">
        <v>82</v>
      </c>
      <c r="B206" s="605"/>
      <c r="C206" s="108">
        <f>SUM(C203+C204)</f>
        <v>200000</v>
      </c>
    </row>
    <row r="207" spans="1:4" ht="60.75" customHeight="1" x14ac:dyDescent="0.25">
      <c r="A207" s="116" t="s">
        <v>186</v>
      </c>
      <c r="B207" s="117" t="s">
        <v>187</v>
      </c>
      <c r="C207" s="118">
        <v>840000</v>
      </c>
      <c r="D207" s="119" t="s">
        <v>188</v>
      </c>
    </row>
    <row r="208" spans="1:4" x14ac:dyDescent="0.25">
      <c r="A208" s="120" t="s">
        <v>83</v>
      </c>
      <c r="B208" s="121" t="s">
        <v>189</v>
      </c>
      <c r="C208" s="122">
        <v>16500</v>
      </c>
    </row>
    <row r="209" spans="1:3" x14ac:dyDescent="0.25">
      <c r="A209" s="604" t="s">
        <v>85</v>
      </c>
      <c r="B209" s="605"/>
      <c r="C209" s="108">
        <f>SUM(C207:C208)</f>
        <v>856500</v>
      </c>
    </row>
    <row r="210" spans="1:3" x14ac:dyDescent="0.25">
      <c r="A210" s="120" t="s">
        <v>89</v>
      </c>
      <c r="B210" s="121" t="s">
        <v>90</v>
      </c>
      <c r="C210" s="122">
        <v>50000</v>
      </c>
    </row>
    <row r="211" spans="1:3" x14ac:dyDescent="0.25">
      <c r="A211" s="123" t="s">
        <v>190</v>
      </c>
      <c r="B211" s="124" t="s">
        <v>191</v>
      </c>
      <c r="C211" s="125">
        <v>250000</v>
      </c>
    </row>
    <row r="212" spans="1:3" x14ac:dyDescent="0.25">
      <c r="A212" s="93" t="s">
        <v>91</v>
      </c>
      <c r="B212" s="96" t="s">
        <v>192</v>
      </c>
      <c r="C212" s="95">
        <v>10000</v>
      </c>
    </row>
    <row r="213" spans="1:3" x14ac:dyDescent="0.25">
      <c r="A213" s="93" t="s">
        <v>91</v>
      </c>
      <c r="B213" s="96" t="s">
        <v>193</v>
      </c>
      <c r="C213" s="95">
        <v>20000</v>
      </c>
    </row>
    <row r="214" spans="1:3" x14ac:dyDescent="0.25">
      <c r="A214" s="120" t="s">
        <v>93</v>
      </c>
      <c r="B214" s="121" t="s">
        <v>94</v>
      </c>
      <c r="C214" s="122">
        <v>20000</v>
      </c>
    </row>
    <row r="215" spans="1:3" x14ac:dyDescent="0.25">
      <c r="A215" s="93" t="s">
        <v>95</v>
      </c>
      <c r="B215" s="96" t="s">
        <v>194</v>
      </c>
      <c r="C215" s="95">
        <v>15000</v>
      </c>
    </row>
    <row r="216" spans="1:3" x14ac:dyDescent="0.25">
      <c r="A216" s="93" t="s">
        <v>95</v>
      </c>
      <c r="B216" s="96" t="s">
        <v>87</v>
      </c>
      <c r="C216" s="95">
        <v>30000</v>
      </c>
    </row>
    <row r="217" spans="1:3" x14ac:dyDescent="0.25">
      <c r="A217" s="93" t="s">
        <v>95</v>
      </c>
      <c r="B217" s="96" t="s">
        <v>101</v>
      </c>
      <c r="C217" s="95">
        <v>20000</v>
      </c>
    </row>
    <row r="218" spans="1:3" x14ac:dyDescent="0.25">
      <c r="A218" s="123" t="s">
        <v>95</v>
      </c>
      <c r="B218" s="124" t="s">
        <v>195</v>
      </c>
      <c r="C218" s="125">
        <v>150000</v>
      </c>
    </row>
    <row r="219" spans="1:3" x14ac:dyDescent="0.25">
      <c r="A219" s="104" t="s">
        <v>38</v>
      </c>
      <c r="B219" s="56" t="s">
        <v>57</v>
      </c>
      <c r="C219" s="115">
        <f>SUM(C211:C213,C215:C218)*0.27</f>
        <v>133650</v>
      </c>
    </row>
    <row r="220" spans="1:3" x14ac:dyDescent="0.25">
      <c r="A220" s="604" t="s">
        <v>102</v>
      </c>
      <c r="B220" s="605"/>
      <c r="C220" s="108">
        <f>SUM(C210:C218)</f>
        <v>565000</v>
      </c>
    </row>
    <row r="221" spans="1:3" x14ac:dyDescent="0.25">
      <c r="A221" s="120" t="s">
        <v>103</v>
      </c>
      <c r="B221" s="53" t="s">
        <v>196</v>
      </c>
      <c r="C221" s="122">
        <v>170000</v>
      </c>
    </row>
    <row r="222" spans="1:3" x14ac:dyDescent="0.25">
      <c r="A222" s="104" t="s">
        <v>197</v>
      </c>
      <c r="B222" s="126" t="s">
        <v>198</v>
      </c>
      <c r="C222" s="115">
        <f>C195</f>
        <v>6480</v>
      </c>
    </row>
    <row r="223" spans="1:3" x14ac:dyDescent="0.25">
      <c r="A223" s="104" t="s">
        <v>38</v>
      </c>
      <c r="B223" s="126" t="s">
        <v>199</v>
      </c>
      <c r="C223" s="115">
        <f>SUM(C189,C196,C201,C205,C219)</f>
        <v>695595.60000000009</v>
      </c>
    </row>
    <row r="224" spans="1:3" x14ac:dyDescent="0.25">
      <c r="A224" s="127" t="s">
        <v>38</v>
      </c>
      <c r="B224" s="128" t="s">
        <v>106</v>
      </c>
      <c r="C224" s="129">
        <f>C190</f>
        <v>1500</v>
      </c>
    </row>
    <row r="225" spans="1:4" ht="30" x14ac:dyDescent="0.25">
      <c r="A225" s="120" t="s">
        <v>107</v>
      </c>
      <c r="B225" s="53" t="s">
        <v>200</v>
      </c>
      <c r="C225" s="122">
        <v>300000</v>
      </c>
    </row>
    <row r="226" spans="1:4" x14ac:dyDescent="0.25">
      <c r="A226" s="120" t="s">
        <v>201</v>
      </c>
      <c r="B226" s="130" t="s">
        <v>202</v>
      </c>
      <c r="C226" s="131">
        <v>106400</v>
      </c>
    </row>
    <row r="227" spans="1:4" x14ac:dyDescent="0.25">
      <c r="A227" s="604" t="s">
        <v>109</v>
      </c>
      <c r="B227" s="605"/>
      <c r="C227" s="108">
        <f>SUM(C221:C226)</f>
        <v>1279975.6000000001</v>
      </c>
    </row>
    <row r="228" spans="1:4" ht="15.75" x14ac:dyDescent="0.25">
      <c r="A228" s="606" t="s">
        <v>110</v>
      </c>
      <c r="B228" s="607"/>
      <c r="C228" s="97">
        <f>SUM(C191,C197,C202,C206,C209,C220,C227)</f>
        <v>4848755.5999999996</v>
      </c>
    </row>
    <row r="229" spans="1:4" ht="15.75" x14ac:dyDescent="0.25">
      <c r="A229" s="110" t="s">
        <v>203</v>
      </c>
      <c r="B229" s="111" t="s">
        <v>204</v>
      </c>
      <c r="C229" s="132">
        <v>0</v>
      </c>
    </row>
    <row r="230" spans="1:4" x14ac:dyDescent="0.25">
      <c r="A230" s="93" t="s">
        <v>111</v>
      </c>
      <c r="B230" s="13" t="s">
        <v>205</v>
      </c>
      <c r="C230" s="95">
        <v>70000</v>
      </c>
    </row>
    <row r="231" spans="1:4" x14ac:dyDescent="0.25">
      <c r="A231" s="104" t="s">
        <v>113</v>
      </c>
      <c r="B231" s="56" t="s">
        <v>114</v>
      </c>
      <c r="C231" s="115">
        <f>SUM(C229:C230)*0.27</f>
        <v>18900</v>
      </c>
    </row>
    <row r="232" spans="1:4" x14ac:dyDescent="0.25">
      <c r="A232" s="93"/>
      <c r="B232" s="133" t="s">
        <v>115</v>
      </c>
      <c r="C232" s="134">
        <f>SUM(C230:C231)</f>
        <v>88900</v>
      </c>
    </row>
    <row r="233" spans="1:4" ht="15.75" thickBot="1" x14ac:dyDescent="0.3">
      <c r="A233" s="135"/>
      <c r="B233" s="136"/>
      <c r="C233" s="137"/>
    </row>
    <row r="234" spans="1:4" ht="20.25" thickTop="1" thickBot="1" x14ac:dyDescent="0.35">
      <c r="A234" s="608" t="s">
        <v>206</v>
      </c>
      <c r="B234" s="609"/>
      <c r="C234" s="138">
        <f>SUM(C174,C179,C228,C232)</f>
        <v>25704757.399999999</v>
      </c>
    </row>
    <row r="235" spans="1:4" ht="16.5" thickTop="1" thickBot="1" x14ac:dyDescent="0.3"/>
    <row r="236" spans="1:4" ht="22.5" thickTop="1" thickBot="1" x14ac:dyDescent="0.3">
      <c r="B236" s="92" t="s">
        <v>207</v>
      </c>
    </row>
    <row r="237" spans="1:4" ht="70.5" customHeight="1" thickTop="1" x14ac:dyDescent="0.25">
      <c r="A237" s="8" t="s">
        <v>2</v>
      </c>
      <c r="B237" s="9" t="s">
        <v>3</v>
      </c>
      <c r="C237" s="81" t="s">
        <v>4</v>
      </c>
    </row>
    <row r="238" spans="1:4" ht="36" customHeight="1" x14ac:dyDescent="0.25">
      <c r="A238" s="93" t="s">
        <v>5</v>
      </c>
      <c r="B238" s="29" t="s">
        <v>208</v>
      </c>
      <c r="C238" s="95">
        <v>7220000</v>
      </c>
      <c r="D238" s="119" t="s">
        <v>209</v>
      </c>
    </row>
    <row r="239" spans="1:4" x14ac:dyDescent="0.25">
      <c r="A239" s="93" t="s">
        <v>5</v>
      </c>
      <c r="B239" s="96" t="s">
        <v>166</v>
      </c>
      <c r="C239" s="95">
        <v>2517972</v>
      </c>
    </row>
    <row r="240" spans="1:4" ht="34.5" customHeight="1" x14ac:dyDescent="0.25">
      <c r="A240" s="93" t="s">
        <v>5</v>
      </c>
      <c r="B240" s="94" t="s">
        <v>167</v>
      </c>
      <c r="C240" s="95">
        <v>240000</v>
      </c>
      <c r="D240" t="s">
        <v>210</v>
      </c>
    </row>
    <row r="241" spans="1:3" x14ac:dyDescent="0.25">
      <c r="A241" s="93" t="s">
        <v>13</v>
      </c>
      <c r="B241" s="96" t="s">
        <v>211</v>
      </c>
      <c r="C241" s="95">
        <v>50000</v>
      </c>
    </row>
    <row r="242" spans="1:3" x14ac:dyDescent="0.25">
      <c r="A242" s="93" t="s">
        <v>15</v>
      </c>
      <c r="B242" s="96" t="s">
        <v>16</v>
      </c>
      <c r="C242" s="95">
        <v>24100</v>
      </c>
    </row>
    <row r="243" spans="1:3" x14ac:dyDescent="0.25">
      <c r="A243" s="93" t="s">
        <v>15</v>
      </c>
      <c r="B243" s="96" t="s">
        <v>212</v>
      </c>
      <c r="C243" s="95">
        <v>40000</v>
      </c>
    </row>
    <row r="244" spans="1:3" ht="15.75" x14ac:dyDescent="0.25">
      <c r="A244" s="606" t="s">
        <v>23</v>
      </c>
      <c r="B244" s="607"/>
      <c r="C244" s="97">
        <f>SUM(C238:C243)</f>
        <v>10092072</v>
      </c>
    </row>
    <row r="245" spans="1:3" x14ac:dyDescent="0.25">
      <c r="A245" s="93" t="s">
        <v>24</v>
      </c>
      <c r="B245" s="96" t="s">
        <v>151</v>
      </c>
      <c r="C245" s="95">
        <f>SUM(C238:C240)*0.2</f>
        <v>1995594.4000000001</v>
      </c>
    </row>
    <row r="246" spans="1:3" x14ac:dyDescent="0.25">
      <c r="A246" s="93"/>
      <c r="B246" s="96" t="s">
        <v>29</v>
      </c>
      <c r="C246" s="95">
        <v>6300</v>
      </c>
    </row>
    <row r="247" spans="1:3" x14ac:dyDescent="0.25">
      <c r="A247" s="93"/>
      <c r="B247" s="96" t="s">
        <v>30</v>
      </c>
      <c r="C247" s="95">
        <v>4300</v>
      </c>
    </row>
    <row r="248" spans="1:3" ht="15.75" x14ac:dyDescent="0.25">
      <c r="A248" s="606" t="s">
        <v>32</v>
      </c>
      <c r="B248" s="607"/>
      <c r="C248" s="97">
        <f>SUM(C245:C247)</f>
        <v>2006194.4000000001</v>
      </c>
    </row>
    <row r="249" spans="1:3" x14ac:dyDescent="0.25">
      <c r="A249" s="93" t="s">
        <v>33</v>
      </c>
      <c r="B249" s="96" t="s">
        <v>44</v>
      </c>
      <c r="C249" s="95">
        <v>110000</v>
      </c>
    </row>
    <row r="250" spans="1:3" x14ac:dyDescent="0.25">
      <c r="A250" s="98" t="s">
        <v>127</v>
      </c>
      <c r="B250" s="99" t="s">
        <v>175</v>
      </c>
      <c r="C250" s="100">
        <v>30000</v>
      </c>
    </row>
    <row r="251" spans="1:3" x14ac:dyDescent="0.25">
      <c r="A251" s="93" t="s">
        <v>45</v>
      </c>
      <c r="B251" s="94" t="s">
        <v>46</v>
      </c>
      <c r="C251" s="95">
        <v>300000</v>
      </c>
    </row>
    <row r="252" spans="1:3" x14ac:dyDescent="0.25">
      <c r="A252" s="93" t="s">
        <v>45</v>
      </c>
      <c r="B252" s="94" t="s">
        <v>47</v>
      </c>
      <c r="C252" s="95">
        <v>35000</v>
      </c>
    </row>
    <row r="253" spans="1:3" ht="30" x14ac:dyDescent="0.25">
      <c r="A253" s="93" t="s">
        <v>50</v>
      </c>
      <c r="B253" s="101" t="s">
        <v>213</v>
      </c>
      <c r="C253" s="102">
        <v>80000</v>
      </c>
    </row>
    <row r="254" spans="1:3" x14ac:dyDescent="0.25">
      <c r="A254" s="93" t="s">
        <v>52</v>
      </c>
      <c r="B254" s="94" t="s">
        <v>179</v>
      </c>
      <c r="C254" s="103">
        <v>65000</v>
      </c>
    </row>
    <row r="255" spans="1:3" x14ac:dyDescent="0.25">
      <c r="A255" s="93" t="s">
        <v>52</v>
      </c>
      <c r="B255" s="94" t="s">
        <v>55</v>
      </c>
      <c r="C255" s="103">
        <v>80000</v>
      </c>
    </row>
    <row r="256" spans="1:3" x14ac:dyDescent="0.25">
      <c r="A256" s="93" t="s">
        <v>52</v>
      </c>
      <c r="B256" s="94" t="s">
        <v>214</v>
      </c>
      <c r="C256" s="103">
        <v>50000</v>
      </c>
    </row>
    <row r="257" spans="1:3" x14ac:dyDescent="0.25">
      <c r="A257" s="104" t="s">
        <v>38</v>
      </c>
      <c r="B257" s="56" t="s">
        <v>57</v>
      </c>
      <c r="C257" s="105">
        <f>SUM(C249,C251:C256)*0.27</f>
        <v>194400</v>
      </c>
    </row>
    <row r="258" spans="1:3" x14ac:dyDescent="0.25">
      <c r="A258" s="98" t="s">
        <v>38</v>
      </c>
      <c r="B258" s="106" t="s">
        <v>106</v>
      </c>
      <c r="C258" s="107">
        <f>SUM(C250)*0.05</f>
        <v>1500</v>
      </c>
    </row>
    <row r="259" spans="1:3" x14ac:dyDescent="0.25">
      <c r="A259" s="604" t="s">
        <v>58</v>
      </c>
      <c r="B259" s="605"/>
      <c r="C259" s="108">
        <f>SUM(C249:C256)</f>
        <v>750000</v>
      </c>
    </row>
    <row r="260" spans="1:3" x14ac:dyDescent="0.25">
      <c r="A260" s="110" t="s">
        <v>61</v>
      </c>
      <c r="B260" s="111" t="s">
        <v>215</v>
      </c>
      <c r="C260" s="112">
        <v>90000</v>
      </c>
    </row>
    <row r="261" spans="1:3" x14ac:dyDescent="0.25">
      <c r="A261" s="93" t="s">
        <v>63</v>
      </c>
      <c r="B261" s="96" t="s">
        <v>216</v>
      </c>
      <c r="C261" s="109">
        <f>94800+2080</f>
        <v>96880</v>
      </c>
    </row>
    <row r="262" spans="1:3" x14ac:dyDescent="0.25">
      <c r="A262" s="104" t="s">
        <v>38</v>
      </c>
      <c r="B262" s="56" t="s">
        <v>57</v>
      </c>
      <c r="C262" s="113">
        <f>SUM(C260:C261)*0.27</f>
        <v>50457.600000000006</v>
      </c>
    </row>
    <row r="263" spans="1:3" x14ac:dyDescent="0.25">
      <c r="A263" s="604" t="s">
        <v>66</v>
      </c>
      <c r="B263" s="605"/>
      <c r="C263" s="114">
        <f>SUM(C260:C261)</f>
        <v>186880</v>
      </c>
    </row>
    <row r="264" spans="1:3" x14ac:dyDescent="0.25">
      <c r="A264" s="93" t="s">
        <v>69</v>
      </c>
      <c r="B264" s="96" t="s">
        <v>68</v>
      </c>
      <c r="C264" s="109">
        <v>400000</v>
      </c>
    </row>
    <row r="265" spans="1:3" x14ac:dyDescent="0.25">
      <c r="A265" s="93" t="s">
        <v>67</v>
      </c>
      <c r="B265" s="96" t="s">
        <v>70</v>
      </c>
      <c r="C265" s="109">
        <v>225000</v>
      </c>
    </row>
    <row r="266" spans="1:3" x14ac:dyDescent="0.25">
      <c r="A266" s="93" t="s">
        <v>71</v>
      </c>
      <c r="B266" s="96" t="s">
        <v>72</v>
      </c>
      <c r="C266" s="109">
        <v>165000</v>
      </c>
    </row>
    <row r="267" spans="1:3" x14ac:dyDescent="0.25">
      <c r="A267" s="104" t="s">
        <v>38</v>
      </c>
      <c r="B267" s="56" t="s">
        <v>57</v>
      </c>
      <c r="C267" s="113">
        <f>SUM(C264:C266)*0.27</f>
        <v>213300</v>
      </c>
    </row>
    <row r="268" spans="1:3" x14ac:dyDescent="0.25">
      <c r="A268" s="604" t="s">
        <v>73</v>
      </c>
      <c r="B268" s="605"/>
      <c r="C268" s="114">
        <f>SUM(C264:C266)</f>
        <v>790000</v>
      </c>
    </row>
    <row r="269" spans="1:3" x14ac:dyDescent="0.25">
      <c r="A269" s="93" t="s">
        <v>79</v>
      </c>
      <c r="B269" s="96" t="s">
        <v>184</v>
      </c>
      <c r="C269" s="109">
        <v>50000</v>
      </c>
    </row>
    <row r="270" spans="1:3" x14ac:dyDescent="0.25">
      <c r="A270" s="104" t="s">
        <v>38</v>
      </c>
      <c r="B270" s="56" t="s">
        <v>57</v>
      </c>
      <c r="C270" s="115">
        <f>SUM(C269)*0.27</f>
        <v>13500</v>
      </c>
    </row>
    <row r="271" spans="1:3" x14ac:dyDescent="0.25">
      <c r="A271" s="604" t="s">
        <v>82</v>
      </c>
      <c r="B271" s="605"/>
      <c r="C271" s="108">
        <f>SUM(C269)</f>
        <v>50000</v>
      </c>
    </row>
    <row r="272" spans="1:3" x14ac:dyDescent="0.25">
      <c r="A272" s="120" t="s">
        <v>83</v>
      </c>
      <c r="B272" s="121" t="s">
        <v>217</v>
      </c>
      <c r="C272" s="122">
        <v>19800</v>
      </c>
    </row>
    <row r="273" spans="1:3" x14ac:dyDescent="0.25">
      <c r="A273" s="604" t="s">
        <v>85</v>
      </c>
      <c r="B273" s="605"/>
      <c r="C273" s="108">
        <f>SUM(C272:C272)</f>
        <v>19800</v>
      </c>
    </row>
    <row r="274" spans="1:3" x14ac:dyDescent="0.25">
      <c r="A274" s="120" t="s">
        <v>89</v>
      </c>
      <c r="B274" s="121" t="s">
        <v>90</v>
      </c>
      <c r="C274" s="122">
        <v>30000</v>
      </c>
    </row>
    <row r="275" spans="1:3" x14ac:dyDescent="0.25">
      <c r="A275" s="93" t="s">
        <v>91</v>
      </c>
      <c r="B275" s="96" t="s">
        <v>192</v>
      </c>
      <c r="C275" s="95">
        <v>10000</v>
      </c>
    </row>
    <row r="276" spans="1:3" x14ac:dyDescent="0.25">
      <c r="A276" s="93" t="s">
        <v>91</v>
      </c>
      <c r="B276" s="96" t="s">
        <v>193</v>
      </c>
      <c r="C276" s="95">
        <v>20000</v>
      </c>
    </row>
    <row r="277" spans="1:3" x14ac:dyDescent="0.25">
      <c r="A277" s="120" t="s">
        <v>93</v>
      </c>
      <c r="B277" s="121" t="s">
        <v>94</v>
      </c>
      <c r="C277" s="122">
        <v>20000</v>
      </c>
    </row>
    <row r="278" spans="1:3" x14ac:dyDescent="0.25">
      <c r="A278" s="93" t="s">
        <v>95</v>
      </c>
      <c r="B278" s="96" t="s">
        <v>218</v>
      </c>
      <c r="C278" s="95">
        <v>15000</v>
      </c>
    </row>
    <row r="279" spans="1:3" x14ac:dyDescent="0.25">
      <c r="A279" s="93" t="s">
        <v>95</v>
      </c>
      <c r="B279" s="96" t="s">
        <v>87</v>
      </c>
      <c r="C279" s="95">
        <v>30000</v>
      </c>
    </row>
    <row r="280" spans="1:3" x14ac:dyDescent="0.25">
      <c r="A280" s="93" t="s">
        <v>95</v>
      </c>
      <c r="B280" s="96" t="s">
        <v>101</v>
      </c>
      <c r="C280" s="95">
        <v>20000</v>
      </c>
    </row>
    <row r="281" spans="1:3" x14ac:dyDescent="0.25">
      <c r="A281" s="104" t="s">
        <v>38</v>
      </c>
      <c r="B281" s="56" t="s">
        <v>57</v>
      </c>
      <c r="C281" s="115">
        <f>SUM(C275:C276,C278:C280)*0.27</f>
        <v>25650</v>
      </c>
    </row>
    <row r="282" spans="1:3" x14ac:dyDescent="0.25">
      <c r="A282" s="604" t="s">
        <v>102</v>
      </c>
      <c r="B282" s="605"/>
      <c r="C282" s="108">
        <f>SUM(C274:C280)</f>
        <v>145000</v>
      </c>
    </row>
    <row r="283" spans="1:3" x14ac:dyDescent="0.25">
      <c r="A283" s="120" t="s">
        <v>103</v>
      </c>
      <c r="B283" s="53" t="s">
        <v>219</v>
      </c>
      <c r="C283" s="122">
        <v>210000</v>
      </c>
    </row>
    <row r="284" spans="1:3" x14ac:dyDescent="0.25">
      <c r="A284" s="104" t="s">
        <v>38</v>
      </c>
      <c r="B284" s="126" t="s">
        <v>199</v>
      </c>
      <c r="C284" s="115">
        <f>SUM(C257,C262,C267,C270,C281)</f>
        <v>497307.6</v>
      </c>
    </row>
    <row r="285" spans="1:3" x14ac:dyDescent="0.25">
      <c r="A285" s="127" t="s">
        <v>38</v>
      </c>
      <c r="B285" s="128" t="s">
        <v>106</v>
      </c>
      <c r="C285" s="129">
        <f>C258</f>
        <v>1500</v>
      </c>
    </row>
    <row r="286" spans="1:3" ht="30" x14ac:dyDescent="0.25">
      <c r="A286" s="120" t="s">
        <v>107</v>
      </c>
      <c r="B286" s="53" t="s">
        <v>200</v>
      </c>
      <c r="C286" s="122">
        <v>160000</v>
      </c>
    </row>
    <row r="287" spans="1:3" x14ac:dyDescent="0.25">
      <c r="A287" s="604" t="s">
        <v>109</v>
      </c>
      <c r="B287" s="605"/>
      <c r="C287" s="108">
        <f>SUM(C283:C286)</f>
        <v>868807.6</v>
      </c>
    </row>
    <row r="288" spans="1:3" ht="15.75" x14ac:dyDescent="0.25">
      <c r="A288" s="606" t="s">
        <v>110</v>
      </c>
      <c r="B288" s="607"/>
      <c r="C288" s="97">
        <f>SUM(C259,C263,C268,C271,C273,C282,C287)</f>
        <v>2810487.6</v>
      </c>
    </row>
    <row r="289" spans="1:6" ht="15.75" x14ac:dyDescent="0.25">
      <c r="A289" s="110" t="s">
        <v>203</v>
      </c>
      <c r="B289" s="111" t="s">
        <v>204</v>
      </c>
      <c r="C289" s="132">
        <v>0</v>
      </c>
    </row>
    <row r="290" spans="1:6" x14ac:dyDescent="0.25">
      <c r="A290" s="93" t="s">
        <v>111</v>
      </c>
      <c r="B290" s="13" t="s">
        <v>205</v>
      </c>
      <c r="C290" s="95">
        <v>60000</v>
      </c>
    </row>
    <row r="291" spans="1:6" x14ac:dyDescent="0.25">
      <c r="A291" s="104" t="s">
        <v>113</v>
      </c>
      <c r="B291" s="56" t="s">
        <v>114</v>
      </c>
      <c r="C291" s="115">
        <f>C290*0.27</f>
        <v>16200.000000000002</v>
      </c>
    </row>
    <row r="292" spans="1:6" ht="15.75" thickBot="1" x14ac:dyDescent="0.3">
      <c r="A292" s="93"/>
      <c r="B292" s="133" t="s">
        <v>115</v>
      </c>
      <c r="C292" s="134">
        <f>SUM(C290:C291)</f>
        <v>76200</v>
      </c>
    </row>
    <row r="293" spans="1:6" ht="20.25" thickTop="1" thickBot="1" x14ac:dyDescent="0.35">
      <c r="A293" s="608" t="s">
        <v>220</v>
      </c>
      <c r="B293" s="609"/>
      <c r="C293" s="138">
        <f>SUM(C244,C248,C288,C292)</f>
        <v>14984954</v>
      </c>
    </row>
    <row r="294" spans="1:6" ht="15.75" thickTop="1" x14ac:dyDescent="0.25"/>
    <row r="295" spans="1:6" ht="15.75" thickBot="1" x14ac:dyDescent="0.3"/>
    <row r="296" spans="1:6" ht="20.25" thickTop="1" thickBot="1" x14ac:dyDescent="0.3">
      <c r="B296" s="65" t="s">
        <v>221</v>
      </c>
      <c r="C296" s="23"/>
      <c r="E296" s="66"/>
    </row>
    <row r="297" spans="1:6" ht="15.75" thickTop="1" x14ac:dyDescent="0.25">
      <c r="A297" s="8" t="s">
        <v>2</v>
      </c>
      <c r="B297" s="9" t="s">
        <v>3</v>
      </c>
      <c r="C297" s="139" t="s">
        <v>4</v>
      </c>
      <c r="D297" s="11"/>
      <c r="E297" s="67"/>
      <c r="F297" s="11"/>
    </row>
    <row r="298" spans="1:6" ht="59.25" customHeight="1" x14ac:dyDescent="0.25">
      <c r="A298" s="82" t="s">
        <v>5</v>
      </c>
      <c r="B298" s="13" t="s">
        <v>222</v>
      </c>
      <c r="C298" s="14">
        <v>8051472</v>
      </c>
      <c r="E298" s="66"/>
    </row>
    <row r="299" spans="1:6" ht="59.25" customHeight="1" x14ac:dyDescent="0.25">
      <c r="A299" s="82" t="s">
        <v>5</v>
      </c>
      <c r="B299" s="13" t="s">
        <v>223</v>
      </c>
      <c r="C299" s="14">
        <v>151200</v>
      </c>
      <c r="E299" s="66"/>
    </row>
    <row r="300" spans="1:6" x14ac:dyDescent="0.25">
      <c r="A300" s="82" t="s">
        <v>5</v>
      </c>
      <c r="B300" s="13" t="s">
        <v>224</v>
      </c>
      <c r="C300" s="14">
        <v>120000</v>
      </c>
      <c r="E300" s="66"/>
    </row>
    <row r="301" spans="1:6" ht="60.75" customHeight="1" x14ac:dyDescent="0.25">
      <c r="A301" s="82" t="s">
        <v>5</v>
      </c>
      <c r="B301" s="13" t="s">
        <v>148</v>
      </c>
      <c r="C301" s="14">
        <v>145668</v>
      </c>
    </row>
    <row r="302" spans="1:6" x14ac:dyDescent="0.25">
      <c r="A302" s="82" t="s">
        <v>15</v>
      </c>
      <c r="B302" s="13" t="s">
        <v>150</v>
      </c>
      <c r="C302" s="14">
        <v>36000</v>
      </c>
    </row>
    <row r="303" spans="1:6" ht="15" customHeight="1" x14ac:dyDescent="0.25">
      <c r="A303" s="602" t="s">
        <v>23</v>
      </c>
      <c r="B303" s="603"/>
      <c r="C303" s="20">
        <f>SUM(C298:C302)</f>
        <v>8504340</v>
      </c>
      <c r="D303" s="22"/>
      <c r="E303" s="22"/>
      <c r="F303" s="22"/>
    </row>
    <row r="304" spans="1:6" x14ac:dyDescent="0.25">
      <c r="A304" s="82"/>
      <c r="B304" s="13" t="s">
        <v>151</v>
      </c>
      <c r="C304" s="14">
        <f>SUM(C298:C302)*0.2</f>
        <v>1700868</v>
      </c>
    </row>
    <row r="305" spans="1:6" ht="15" customHeight="1" x14ac:dyDescent="0.25">
      <c r="A305" s="602" t="s">
        <v>32</v>
      </c>
      <c r="B305" s="603"/>
      <c r="C305" s="20">
        <f>SUM(C304:C304)</f>
        <v>1700868</v>
      </c>
      <c r="D305" s="22"/>
      <c r="E305" s="22"/>
      <c r="F305" s="22"/>
    </row>
    <row r="306" spans="1:6" x14ac:dyDescent="0.25">
      <c r="A306" s="82" t="s">
        <v>127</v>
      </c>
      <c r="B306" s="13" t="s">
        <v>152</v>
      </c>
      <c r="C306" s="14">
        <v>0</v>
      </c>
      <c r="D306" s="22" t="s">
        <v>225</v>
      </c>
      <c r="E306" s="22"/>
      <c r="F306" s="22"/>
    </row>
    <row r="307" spans="1:6" x14ac:dyDescent="0.25">
      <c r="A307" s="82" t="s">
        <v>33</v>
      </c>
      <c r="B307" s="13" t="s">
        <v>34</v>
      </c>
      <c r="C307" s="14">
        <v>15000</v>
      </c>
    </row>
    <row r="308" spans="1:6" x14ac:dyDescent="0.25">
      <c r="A308" s="82" t="s">
        <v>43</v>
      </c>
      <c r="B308" s="13" t="s">
        <v>44</v>
      </c>
      <c r="C308" s="14">
        <v>5000</v>
      </c>
    </row>
    <row r="309" spans="1:6" x14ac:dyDescent="0.25">
      <c r="A309" s="82" t="s">
        <v>45</v>
      </c>
      <c r="B309" s="13" t="s">
        <v>226</v>
      </c>
      <c r="C309" s="14">
        <v>40000</v>
      </c>
    </row>
    <row r="310" spans="1:6" x14ac:dyDescent="0.25">
      <c r="A310" s="82" t="s">
        <v>50</v>
      </c>
      <c r="B310" s="13" t="s">
        <v>153</v>
      </c>
      <c r="C310" s="14">
        <v>30000</v>
      </c>
    </row>
    <row r="311" spans="1:6" x14ac:dyDescent="0.25">
      <c r="A311" s="82" t="s">
        <v>52</v>
      </c>
      <c r="B311" s="13" t="s">
        <v>227</v>
      </c>
      <c r="C311" s="14">
        <v>50000</v>
      </c>
    </row>
    <row r="312" spans="1:6" x14ac:dyDescent="0.25">
      <c r="A312" s="82" t="s">
        <v>52</v>
      </c>
      <c r="B312" s="13" t="s">
        <v>228</v>
      </c>
      <c r="C312" s="14">
        <v>30000</v>
      </c>
    </row>
    <row r="313" spans="1:6" x14ac:dyDescent="0.25">
      <c r="A313" s="594" t="s">
        <v>58</v>
      </c>
      <c r="B313" s="595"/>
      <c r="C313" s="33">
        <f>SUM(C306:C312)</f>
        <v>170000</v>
      </c>
      <c r="D313" s="35"/>
      <c r="E313" s="35"/>
      <c r="F313" s="35"/>
    </row>
    <row r="314" spans="1:6" x14ac:dyDescent="0.25">
      <c r="A314" s="83" t="s">
        <v>38</v>
      </c>
      <c r="B314" s="56" t="s">
        <v>57</v>
      </c>
      <c r="C314" s="57">
        <f>SUM(C306:C312)*0.27</f>
        <v>45900</v>
      </c>
      <c r="D314" s="35"/>
      <c r="E314" s="35"/>
      <c r="F314" s="35"/>
    </row>
    <row r="315" spans="1:6" x14ac:dyDescent="0.25">
      <c r="A315" s="93" t="s">
        <v>69</v>
      </c>
      <c r="B315" s="96" t="s">
        <v>68</v>
      </c>
      <c r="C315" s="14">
        <v>350000</v>
      </c>
      <c r="D315" s="35"/>
      <c r="E315" s="35"/>
      <c r="F315" s="35"/>
    </row>
    <row r="316" spans="1:6" x14ac:dyDescent="0.25">
      <c r="A316" s="93" t="s">
        <v>67</v>
      </c>
      <c r="B316" s="96" t="s">
        <v>70</v>
      </c>
      <c r="C316" s="14">
        <v>130000</v>
      </c>
      <c r="D316" s="35"/>
      <c r="E316" s="35"/>
      <c r="F316" s="35"/>
    </row>
    <row r="317" spans="1:6" x14ac:dyDescent="0.25">
      <c r="A317" s="93" t="s">
        <v>71</v>
      </c>
      <c r="B317" s="96" t="s">
        <v>72</v>
      </c>
      <c r="C317" s="14">
        <v>75000</v>
      </c>
      <c r="D317" s="35"/>
      <c r="E317" s="35"/>
      <c r="F317" s="35"/>
    </row>
    <row r="318" spans="1:6" x14ac:dyDescent="0.25">
      <c r="A318" s="104" t="s">
        <v>38</v>
      </c>
      <c r="B318" s="56" t="s">
        <v>57</v>
      </c>
      <c r="C318" s="32">
        <f>SUM(C315:C317)*0.27</f>
        <v>149850</v>
      </c>
      <c r="D318" s="35"/>
      <c r="E318" s="35"/>
      <c r="F318" s="35"/>
    </row>
    <row r="319" spans="1:6" x14ac:dyDescent="0.25">
      <c r="A319" s="604" t="s">
        <v>73</v>
      </c>
      <c r="B319" s="605"/>
      <c r="C319" s="14">
        <f>SUM(C315:C317)</f>
        <v>555000</v>
      </c>
      <c r="D319" s="35"/>
      <c r="E319" s="35"/>
      <c r="F319" s="35"/>
    </row>
    <row r="320" spans="1:6" ht="30" x14ac:dyDescent="0.25">
      <c r="A320" s="39" t="s">
        <v>74</v>
      </c>
      <c r="B320" s="13" t="s">
        <v>229</v>
      </c>
      <c r="C320" s="84">
        <f>993816+191952+747228</f>
        <v>1932996</v>
      </c>
      <c r="D320" s="35"/>
      <c r="E320" s="35"/>
      <c r="F320" s="35"/>
    </row>
    <row r="321" spans="1:6" x14ac:dyDescent="0.25">
      <c r="A321" s="85" t="s">
        <v>38</v>
      </c>
      <c r="B321" s="86" t="s">
        <v>77</v>
      </c>
      <c r="C321" s="87">
        <f>SUM(C320)*0.27</f>
        <v>521908.92000000004</v>
      </c>
      <c r="D321" s="35"/>
      <c r="E321" s="35"/>
      <c r="F321" s="35"/>
    </row>
    <row r="322" spans="1:6" x14ac:dyDescent="0.25">
      <c r="A322" s="88"/>
      <c r="B322" s="44" t="s">
        <v>158</v>
      </c>
      <c r="C322" s="33">
        <f>SUM(C320)</f>
        <v>1932996</v>
      </c>
      <c r="D322" s="35"/>
      <c r="E322" s="35"/>
      <c r="F322" s="35"/>
    </row>
    <row r="323" spans="1:6" x14ac:dyDescent="0.25">
      <c r="A323" s="89" t="s">
        <v>83</v>
      </c>
      <c r="B323" s="53" t="s">
        <v>159</v>
      </c>
      <c r="C323" s="47">
        <v>9900</v>
      </c>
    </row>
    <row r="324" spans="1:6" x14ac:dyDescent="0.25">
      <c r="A324" s="89" t="s">
        <v>86</v>
      </c>
      <c r="B324" s="53" t="s">
        <v>270</v>
      </c>
      <c r="C324" s="47">
        <v>72000</v>
      </c>
    </row>
    <row r="325" spans="1:6" x14ac:dyDescent="0.25">
      <c r="A325" s="594" t="s">
        <v>271</v>
      </c>
      <c r="B325" s="595"/>
      <c r="C325" s="33">
        <f>SUM(C323:C324)</f>
        <v>81900</v>
      </c>
      <c r="D325" s="35"/>
      <c r="E325" s="35"/>
      <c r="F325" s="35"/>
    </row>
    <row r="326" spans="1:6" x14ac:dyDescent="0.25">
      <c r="A326" s="83" t="s">
        <v>38</v>
      </c>
      <c r="B326" s="56" t="s">
        <v>160</v>
      </c>
      <c r="C326" s="57">
        <f>SUM(C321,C314,C318)</f>
        <v>717658.92</v>
      </c>
      <c r="E326" s="18"/>
    </row>
    <row r="327" spans="1:6" x14ac:dyDescent="0.25">
      <c r="A327" s="610" t="s">
        <v>110</v>
      </c>
      <c r="B327" s="611"/>
      <c r="C327" s="20">
        <f>SUM(C313,C322,C325,C326,C319)</f>
        <v>3457554.92</v>
      </c>
      <c r="D327" s="22"/>
      <c r="E327" s="22"/>
      <c r="F327" s="22"/>
    </row>
    <row r="328" spans="1:6" x14ac:dyDescent="0.25">
      <c r="A328" s="13" t="s">
        <v>111</v>
      </c>
      <c r="B328" s="13" t="s">
        <v>230</v>
      </c>
      <c r="C328" s="14">
        <v>0</v>
      </c>
      <c r="D328" s="22" t="s">
        <v>225</v>
      </c>
      <c r="E328" s="22"/>
      <c r="F328" s="22"/>
    </row>
    <row r="329" spans="1:6" x14ac:dyDescent="0.25">
      <c r="A329" s="140" t="s">
        <v>113</v>
      </c>
      <c r="B329" s="140" t="s">
        <v>231</v>
      </c>
      <c r="C329" s="141">
        <f>C328*0.27</f>
        <v>0</v>
      </c>
      <c r="D329" s="22"/>
      <c r="E329" s="22"/>
      <c r="F329" s="22"/>
    </row>
    <row r="330" spans="1:6" x14ac:dyDescent="0.25">
      <c r="A330" s="93"/>
      <c r="B330" s="133" t="s">
        <v>115</v>
      </c>
      <c r="C330" s="142">
        <f>SUM(C328:C329)</f>
        <v>0</v>
      </c>
      <c r="D330" s="22"/>
      <c r="E330" s="22"/>
      <c r="F330" s="22"/>
    </row>
    <row r="331" spans="1:6" ht="30" x14ac:dyDescent="0.25">
      <c r="A331" s="12" t="s">
        <v>116</v>
      </c>
      <c r="B331" s="13" t="s">
        <v>232</v>
      </c>
      <c r="C331" s="14">
        <v>0</v>
      </c>
      <c r="D331" s="18"/>
      <c r="E331" s="18"/>
    </row>
    <row r="332" spans="1:6" x14ac:dyDescent="0.25">
      <c r="A332" s="143" t="s">
        <v>118</v>
      </c>
      <c r="B332" s="140" t="s">
        <v>119</v>
      </c>
      <c r="C332" s="144">
        <f>C331*0.27</f>
        <v>0</v>
      </c>
      <c r="D332" s="18"/>
      <c r="E332" s="18"/>
    </row>
    <row r="333" spans="1:6" ht="15.75" thickBot="1" x14ac:dyDescent="0.3">
      <c r="A333" s="93"/>
      <c r="B333" s="133" t="s">
        <v>233</v>
      </c>
      <c r="C333" s="145">
        <f>SUM(C331:C332)</f>
        <v>0</v>
      </c>
    </row>
    <row r="334" spans="1:6" ht="20.25" thickTop="1" thickBot="1" x14ac:dyDescent="0.35">
      <c r="A334" s="608" t="s">
        <v>234</v>
      </c>
      <c r="B334" s="609"/>
      <c r="C334" s="138">
        <f>SUM(C303,C305,C327,C330,C333)</f>
        <v>13662762.92</v>
      </c>
    </row>
    <row r="335" spans="1:6" ht="15.75" thickTop="1" x14ac:dyDescent="0.25"/>
    <row r="336" spans="1:6" ht="15.75" thickBot="1" x14ac:dyDescent="0.3"/>
    <row r="337" spans="1:4" ht="20.25" thickTop="1" thickBot="1" x14ac:dyDescent="0.35">
      <c r="A337" s="592" t="s">
        <v>235</v>
      </c>
      <c r="B337" s="593" t="s">
        <v>235</v>
      </c>
      <c r="C337" s="146">
        <f>SUM(C334,C293,C234,C159,C122,C89)</f>
        <v>222963775.71000004</v>
      </c>
      <c r="D337" t="s">
        <v>236</v>
      </c>
    </row>
    <row r="338" spans="1:4" ht="15.75" thickTop="1" x14ac:dyDescent="0.25"/>
    <row r="339" spans="1:4" ht="15.75" thickBot="1" x14ac:dyDescent="0.3"/>
    <row r="340" spans="1:4" ht="20.25" thickTop="1" thickBot="1" x14ac:dyDescent="0.3">
      <c r="B340" s="65" t="s">
        <v>237</v>
      </c>
      <c r="C340" s="23"/>
    </row>
    <row r="341" spans="1:4" ht="15.75" thickTop="1" x14ac:dyDescent="0.25">
      <c r="A341" s="8" t="s">
        <v>2</v>
      </c>
      <c r="B341" s="9" t="s">
        <v>3</v>
      </c>
      <c r="C341" s="81" t="s">
        <v>4</v>
      </c>
    </row>
    <row r="342" spans="1:4" x14ac:dyDescent="0.25">
      <c r="A342" s="82" t="s">
        <v>5</v>
      </c>
      <c r="B342" s="13" t="s">
        <v>146</v>
      </c>
      <c r="C342" s="14">
        <v>10349316</v>
      </c>
    </row>
    <row r="343" spans="1:4" x14ac:dyDescent="0.25">
      <c r="A343" s="82" t="s">
        <v>5</v>
      </c>
      <c r="B343" s="13" t="s">
        <v>147</v>
      </c>
      <c r="C343" s="14">
        <v>425088</v>
      </c>
    </row>
    <row r="344" spans="1:4" ht="45" x14ac:dyDescent="0.25">
      <c r="A344" s="82" t="s">
        <v>5</v>
      </c>
      <c r="B344" s="13" t="s">
        <v>148</v>
      </c>
      <c r="C344" s="14">
        <v>145668</v>
      </c>
    </row>
    <row r="345" spans="1:4" x14ac:dyDescent="0.25">
      <c r="A345" s="82" t="s">
        <v>13</v>
      </c>
      <c r="B345" s="13" t="s">
        <v>149</v>
      </c>
      <c r="C345" s="14">
        <v>150000</v>
      </c>
    </row>
    <row r="346" spans="1:4" x14ac:dyDescent="0.25">
      <c r="A346" s="82" t="s">
        <v>15</v>
      </c>
      <c r="B346" s="13" t="s">
        <v>16</v>
      </c>
      <c r="C346" s="14">
        <v>1000</v>
      </c>
    </row>
    <row r="347" spans="1:4" x14ac:dyDescent="0.25">
      <c r="A347" s="82" t="s">
        <v>15</v>
      </c>
      <c r="B347" s="13" t="s">
        <v>150</v>
      </c>
      <c r="C347" s="14">
        <v>36000</v>
      </c>
    </row>
    <row r="348" spans="1:4" x14ac:dyDescent="0.25">
      <c r="A348" s="602" t="s">
        <v>23</v>
      </c>
      <c r="B348" s="603"/>
      <c r="C348" s="20">
        <f>SUM(C342:C347)</f>
        <v>11107072</v>
      </c>
    </row>
    <row r="349" spans="1:4" x14ac:dyDescent="0.25">
      <c r="A349" s="82"/>
      <c r="B349" s="13" t="s">
        <v>151</v>
      </c>
      <c r="C349" s="14">
        <f>SUM(C342:C344,C347)*0.2</f>
        <v>2191214.4</v>
      </c>
    </row>
    <row r="350" spans="1:4" x14ac:dyDescent="0.25">
      <c r="A350" s="82"/>
      <c r="B350" s="13" t="s">
        <v>29</v>
      </c>
      <c r="C350" s="14">
        <v>314</v>
      </c>
    </row>
    <row r="351" spans="1:4" x14ac:dyDescent="0.25">
      <c r="A351" s="82"/>
      <c r="B351" s="13" t="s">
        <v>30</v>
      </c>
      <c r="C351" s="14">
        <v>215</v>
      </c>
    </row>
    <row r="352" spans="1:4" x14ac:dyDescent="0.25">
      <c r="A352" s="602" t="s">
        <v>32</v>
      </c>
      <c r="B352" s="603"/>
      <c r="C352" s="20">
        <f>SUM(C349:C351)</f>
        <v>2191743.4</v>
      </c>
    </row>
    <row r="353" spans="1:3" x14ac:dyDescent="0.25">
      <c r="A353" s="82" t="s">
        <v>127</v>
      </c>
      <c r="B353" s="13" t="s">
        <v>152</v>
      </c>
      <c r="C353" s="14">
        <v>50000</v>
      </c>
    </row>
    <row r="354" spans="1:3" x14ac:dyDescent="0.25">
      <c r="A354" s="82" t="s">
        <v>33</v>
      </c>
      <c r="B354" s="13" t="s">
        <v>34</v>
      </c>
      <c r="C354" s="14">
        <v>15000</v>
      </c>
    </row>
    <row r="355" spans="1:3" x14ac:dyDescent="0.25">
      <c r="A355" s="82" t="s">
        <v>43</v>
      </c>
      <c r="B355" s="13" t="s">
        <v>44</v>
      </c>
      <c r="C355" s="14">
        <v>15000</v>
      </c>
    </row>
    <row r="356" spans="1:3" x14ac:dyDescent="0.25">
      <c r="A356" s="82" t="s">
        <v>50</v>
      </c>
      <c r="B356" s="13" t="s">
        <v>153</v>
      </c>
      <c r="C356" s="14">
        <v>30000</v>
      </c>
    </row>
    <row r="357" spans="1:3" x14ac:dyDescent="0.25">
      <c r="A357" s="82" t="s">
        <v>52</v>
      </c>
      <c r="B357" s="13" t="s">
        <v>154</v>
      </c>
      <c r="C357" s="14">
        <v>60000</v>
      </c>
    </row>
    <row r="358" spans="1:3" ht="30" x14ac:dyDescent="0.25">
      <c r="A358" s="82" t="s">
        <v>52</v>
      </c>
      <c r="B358" s="13" t="s">
        <v>155</v>
      </c>
      <c r="C358" s="14">
        <v>21260</v>
      </c>
    </row>
    <row r="359" spans="1:3" x14ac:dyDescent="0.25">
      <c r="A359" s="594" t="s">
        <v>58</v>
      </c>
      <c r="B359" s="595"/>
      <c r="C359" s="33">
        <f>SUM(C353:C358)</f>
        <v>191260</v>
      </c>
    </row>
    <row r="360" spans="1:3" x14ac:dyDescent="0.25">
      <c r="A360" s="83" t="s">
        <v>38</v>
      </c>
      <c r="B360" s="56" t="s">
        <v>57</v>
      </c>
      <c r="C360" s="57">
        <f>SUM(C353:C358)*0.27</f>
        <v>51640.200000000004</v>
      </c>
    </row>
    <row r="361" spans="1:3" x14ac:dyDescent="0.25">
      <c r="A361" s="82" t="s">
        <v>63</v>
      </c>
      <c r="B361" s="13" t="s">
        <v>156</v>
      </c>
      <c r="C361" s="14">
        <v>6000</v>
      </c>
    </row>
    <row r="362" spans="1:3" x14ac:dyDescent="0.25">
      <c r="A362" s="594" t="s">
        <v>66</v>
      </c>
      <c r="B362" s="595"/>
      <c r="C362" s="33">
        <f>SUM(C361:C361)</f>
        <v>6000</v>
      </c>
    </row>
    <row r="363" spans="1:3" x14ac:dyDescent="0.25">
      <c r="A363" s="39" t="s">
        <v>74</v>
      </c>
      <c r="B363" s="13" t="s">
        <v>238</v>
      </c>
      <c r="C363" s="84">
        <f>1060905+211520+800445</f>
        <v>2072870</v>
      </c>
    </row>
    <row r="364" spans="1:3" x14ac:dyDescent="0.25">
      <c r="A364" s="85" t="s">
        <v>38</v>
      </c>
      <c r="B364" s="86" t="s">
        <v>77</v>
      </c>
      <c r="C364" s="87">
        <f>SUM(C363)*0.27</f>
        <v>559674.9</v>
      </c>
    </row>
    <row r="365" spans="1:3" x14ac:dyDescent="0.25">
      <c r="A365" s="88"/>
      <c r="B365" s="44" t="s">
        <v>158</v>
      </c>
      <c r="C365" s="33">
        <f>SUM(C363:C364)</f>
        <v>2632544.9</v>
      </c>
    </row>
    <row r="366" spans="1:3" x14ac:dyDescent="0.25">
      <c r="A366" s="89" t="s">
        <v>83</v>
      </c>
      <c r="B366" s="53" t="s">
        <v>159</v>
      </c>
      <c r="C366" s="47">
        <v>9900</v>
      </c>
    </row>
    <row r="367" spans="1:3" x14ac:dyDescent="0.25">
      <c r="A367" s="89" t="s">
        <v>93</v>
      </c>
      <c r="B367" s="53" t="s">
        <v>94</v>
      </c>
      <c r="C367" s="47">
        <v>50000</v>
      </c>
    </row>
    <row r="368" spans="1:3" x14ac:dyDescent="0.25">
      <c r="A368" s="594" t="s">
        <v>85</v>
      </c>
      <c r="B368" s="595"/>
      <c r="C368" s="33">
        <f>SUM(C366:C367)</f>
        <v>59900</v>
      </c>
    </row>
    <row r="369" spans="1:4" x14ac:dyDescent="0.25">
      <c r="A369" s="83" t="s">
        <v>38</v>
      </c>
      <c r="B369" s="56" t="s">
        <v>160</v>
      </c>
      <c r="C369" s="57">
        <f>SUM(C360)</f>
        <v>51640.200000000004</v>
      </c>
    </row>
    <row r="370" spans="1:4" x14ac:dyDescent="0.25">
      <c r="A370" s="596" t="s">
        <v>110</v>
      </c>
      <c r="B370" s="597"/>
      <c r="C370" s="20">
        <f>SUM(C368,C365,C362,C359,C369)</f>
        <v>2941345.1</v>
      </c>
    </row>
    <row r="371" spans="1:4" ht="30" x14ac:dyDescent="0.25">
      <c r="A371" s="12" t="s">
        <v>111</v>
      </c>
      <c r="B371" s="13" t="s">
        <v>161</v>
      </c>
      <c r="C371" s="14">
        <v>100000</v>
      </c>
    </row>
    <row r="372" spans="1:4" x14ac:dyDescent="0.25">
      <c r="A372" s="55" t="s">
        <v>113</v>
      </c>
      <c r="B372" s="56" t="s">
        <v>114</v>
      </c>
      <c r="C372" s="57">
        <f>C371*0.27</f>
        <v>27000</v>
      </c>
    </row>
    <row r="373" spans="1:4" x14ac:dyDescent="0.25">
      <c r="A373" s="598" t="s">
        <v>115</v>
      </c>
      <c r="B373" s="599"/>
      <c r="C373" s="58">
        <f>SUM(C371:C372)</f>
        <v>127000</v>
      </c>
    </row>
    <row r="374" spans="1:4" ht="19.5" thickBot="1" x14ac:dyDescent="0.35">
      <c r="A374" s="600" t="s">
        <v>162</v>
      </c>
      <c r="B374" s="601"/>
      <c r="C374" s="59">
        <f>SUM(C373,C370,C352,C348)-1</f>
        <v>16367159.5</v>
      </c>
    </row>
    <row r="375" spans="1:4" ht="15.75" thickTop="1" x14ac:dyDescent="0.25"/>
    <row r="376" spans="1:4" ht="15.75" thickBot="1" x14ac:dyDescent="0.3"/>
    <row r="377" spans="1:4" ht="20.25" thickTop="1" thickBot="1" x14ac:dyDescent="0.35">
      <c r="A377" s="592" t="s">
        <v>235</v>
      </c>
      <c r="B377" s="593" t="s">
        <v>235</v>
      </c>
      <c r="C377" s="146">
        <f>SUM(C374,C334,C293,C234,C122,C89)</f>
        <v>228356764.36000001</v>
      </c>
      <c r="D377" t="s">
        <v>239</v>
      </c>
    </row>
    <row r="378" spans="1:4" ht="15.75" thickTop="1" x14ac:dyDescent="0.25"/>
  </sheetData>
  <mergeCells count="68">
    <mergeCell ref="D30:D31"/>
    <mergeCell ref="A85:B85"/>
    <mergeCell ref="A88:B88"/>
    <mergeCell ref="A89:B89"/>
    <mergeCell ref="A101:B101"/>
    <mergeCell ref="A62:B62"/>
    <mergeCell ref="A75:B75"/>
    <mergeCell ref="A81:B81"/>
    <mergeCell ref="A82:B82"/>
    <mergeCell ref="A162:B162"/>
    <mergeCell ref="A1:C1"/>
    <mergeCell ref="A3:B3"/>
    <mergeCell ref="A18:B18"/>
    <mergeCell ref="A25:B25"/>
    <mergeCell ref="A60:B60"/>
    <mergeCell ref="A42:B42"/>
    <mergeCell ref="A147:B147"/>
    <mergeCell ref="A153:B153"/>
    <mergeCell ref="A155:B155"/>
    <mergeCell ref="A158:B158"/>
    <mergeCell ref="A159:B159"/>
    <mergeCell ref="A121:B121"/>
    <mergeCell ref="A122:B122"/>
    <mergeCell ref="A133:B133"/>
    <mergeCell ref="A137:B137"/>
    <mergeCell ref="A144:B144"/>
    <mergeCell ref="A103:B103"/>
    <mergeCell ref="A48:B48"/>
    <mergeCell ref="A53:B53"/>
    <mergeCell ref="A248:B248"/>
    <mergeCell ref="A179:B179"/>
    <mergeCell ref="A191:B191"/>
    <mergeCell ref="A197:B197"/>
    <mergeCell ref="A202:B202"/>
    <mergeCell ref="A206:B206"/>
    <mergeCell ref="A209:B209"/>
    <mergeCell ref="A220:B220"/>
    <mergeCell ref="A227:B227"/>
    <mergeCell ref="A228:B228"/>
    <mergeCell ref="A234:B234"/>
    <mergeCell ref="A244:B244"/>
    <mergeCell ref="A174:B174"/>
    <mergeCell ref="A313:B313"/>
    <mergeCell ref="A259:B259"/>
    <mergeCell ref="A263:B263"/>
    <mergeCell ref="A268:B268"/>
    <mergeCell ref="A271:B271"/>
    <mergeCell ref="A273:B273"/>
    <mergeCell ref="A282:B282"/>
    <mergeCell ref="A287:B287"/>
    <mergeCell ref="A288:B288"/>
    <mergeCell ref="A293:B293"/>
    <mergeCell ref="A303:B303"/>
    <mergeCell ref="A305:B305"/>
    <mergeCell ref="A377:B377"/>
    <mergeCell ref="A319:B319"/>
    <mergeCell ref="A359:B359"/>
    <mergeCell ref="A362:B362"/>
    <mergeCell ref="A368:B368"/>
    <mergeCell ref="A370:B370"/>
    <mergeCell ref="A373:B373"/>
    <mergeCell ref="A374:B374"/>
    <mergeCell ref="A325:B325"/>
    <mergeCell ref="A327:B327"/>
    <mergeCell ref="A334:B334"/>
    <mergeCell ref="A337:B337"/>
    <mergeCell ref="A348:B348"/>
    <mergeCell ref="A352:B35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F11" sqref="F11"/>
    </sheetView>
  </sheetViews>
  <sheetFormatPr defaultRowHeight="15" x14ac:dyDescent="0.25"/>
  <cols>
    <col min="1" max="1" width="49.28515625" bestFit="1" customWidth="1"/>
    <col min="2" max="2" width="21.140625" customWidth="1"/>
    <col min="3" max="3" width="27.5703125" customWidth="1"/>
    <col min="4" max="4" width="17.28515625" customWidth="1"/>
    <col min="5" max="6" width="18" customWidth="1"/>
    <col min="7" max="7" width="18.28515625" customWidth="1"/>
    <col min="8" max="8" width="12.7109375" bestFit="1" customWidth="1"/>
  </cols>
  <sheetData>
    <row r="1" spans="1:8" x14ac:dyDescent="0.25">
      <c r="A1" s="137"/>
      <c r="B1" s="626" t="s">
        <v>263</v>
      </c>
      <c r="C1" s="626"/>
      <c r="D1" s="627" t="s">
        <v>240</v>
      </c>
      <c r="E1" s="627"/>
      <c r="F1" s="628" t="s">
        <v>241</v>
      </c>
      <c r="G1" s="630" t="s">
        <v>242</v>
      </c>
    </row>
    <row r="2" spans="1:8" x14ac:dyDescent="0.25">
      <c r="A2" s="137"/>
      <c r="B2" s="147" t="s">
        <v>243</v>
      </c>
      <c r="C2" s="147" t="s">
        <v>244</v>
      </c>
      <c r="D2" s="147" t="s">
        <v>243</v>
      </c>
      <c r="E2" s="147" t="s">
        <v>244</v>
      </c>
      <c r="F2" s="629"/>
      <c r="G2" s="629"/>
    </row>
    <row r="3" spans="1:8" x14ac:dyDescent="0.25">
      <c r="A3" s="137" t="s">
        <v>245</v>
      </c>
      <c r="B3" s="95">
        <f>'kiadás 3'!C18+'kiadás 3'!C25</f>
        <v>109488061.2</v>
      </c>
      <c r="C3" s="95">
        <f>43895400+19590900+12642000+5586000+2205000+4410000+3208000+133667+2986000</f>
        <v>94656967</v>
      </c>
      <c r="D3" s="95">
        <f>'kiadás 3'!C82+'kiadás 3'!C85+'kiadás 3'!C88</f>
        <v>41363069.340000004</v>
      </c>
      <c r="E3" s="95">
        <f>((164*81700*8/12)+(150*81700*4/12))</f>
        <v>13017533.333333334</v>
      </c>
      <c r="F3" s="148">
        <f>B3+D3</f>
        <v>150851130.54000002</v>
      </c>
      <c r="G3" s="148">
        <f>C3+E3</f>
        <v>107674500.33333333</v>
      </c>
    </row>
    <row r="4" spans="1:8" x14ac:dyDescent="0.25">
      <c r="A4" s="137" t="s">
        <v>246</v>
      </c>
      <c r="B4" s="95">
        <f>'kiadás 3'!C133+'kiadás 3'!C137</f>
        <v>8930786.5999999996</v>
      </c>
      <c r="C4" s="95">
        <f>6481200+1176000+534667</f>
        <v>8191867</v>
      </c>
      <c r="D4" s="95">
        <f>'kiadás 3'!C155+'kiadás 3'!C158</f>
        <v>2043385.25</v>
      </c>
      <c r="E4" s="95">
        <f>(15*81700*8/12)</f>
        <v>817000</v>
      </c>
      <c r="F4" s="148">
        <f t="shared" ref="F4:G8" si="0">B4+D4</f>
        <v>10974171.85</v>
      </c>
      <c r="G4" s="148">
        <f>C4+E4</f>
        <v>9008867</v>
      </c>
      <c r="H4" t="s">
        <v>247</v>
      </c>
    </row>
    <row r="5" spans="1:8" x14ac:dyDescent="0.25">
      <c r="A5" s="137" t="s">
        <v>248</v>
      </c>
      <c r="B5" s="95">
        <f>'kiadás 3'!C303+'kiadás 3'!C305</f>
        <v>10205208</v>
      </c>
      <c r="C5" s="95">
        <f>5986000+4419000</f>
        <v>10405000</v>
      </c>
      <c r="D5" s="95">
        <f>'kiadás 3'!C327</f>
        <v>3457554.92</v>
      </c>
      <c r="E5" s="95">
        <v>3457555</v>
      </c>
      <c r="F5" s="148">
        <f t="shared" si="0"/>
        <v>13662762.92</v>
      </c>
      <c r="G5" s="148">
        <f>C5+E5</f>
        <v>13862555</v>
      </c>
    </row>
    <row r="6" spans="1:8" x14ac:dyDescent="0.25">
      <c r="A6" s="137" t="s">
        <v>249</v>
      </c>
      <c r="B6" s="95">
        <f>'kiadás 3'!C174+'kiadás 3'!C179</f>
        <v>20767101.800000001</v>
      </c>
      <c r="C6" s="95">
        <f>4418340+1148123</f>
        <v>5566463</v>
      </c>
      <c r="D6" s="95">
        <f>'kiadás 3'!C228+'kiadás 3'!C232</f>
        <v>4937655.5999999996</v>
      </c>
      <c r="E6" s="95">
        <v>13500000</v>
      </c>
      <c r="F6" s="148">
        <f t="shared" si="0"/>
        <v>25704757.399999999</v>
      </c>
      <c r="G6" s="148">
        <f>C6+E6</f>
        <v>19066463</v>
      </c>
    </row>
    <row r="7" spans="1:8" x14ac:dyDescent="0.25">
      <c r="A7" s="137" t="s">
        <v>250</v>
      </c>
      <c r="B7" s="95">
        <f>'kiadás 3'!C244+'kiadás 3'!C248</f>
        <v>12098266.4</v>
      </c>
      <c r="C7" s="95">
        <f>2517972+577637</f>
        <v>3095609</v>
      </c>
      <c r="D7" s="95">
        <f>'kiadás 3'!C288+'kiadás 3'!C292</f>
        <v>2886687.6</v>
      </c>
      <c r="E7" s="95">
        <v>3300000</v>
      </c>
      <c r="F7" s="148">
        <f t="shared" si="0"/>
        <v>14984954</v>
      </c>
      <c r="G7" s="148">
        <f t="shared" si="0"/>
        <v>6395609</v>
      </c>
    </row>
    <row r="8" spans="1:8" x14ac:dyDescent="0.25">
      <c r="A8" s="137" t="s">
        <v>251</v>
      </c>
      <c r="B8" s="95">
        <f>'kiadás 3'!C101+'kiadás 3'!C103</f>
        <v>6786000</v>
      </c>
      <c r="C8" s="95"/>
      <c r="D8" s="95">
        <v>0</v>
      </c>
      <c r="E8" s="95"/>
      <c r="F8" s="148">
        <f t="shared" si="0"/>
        <v>6786000</v>
      </c>
      <c r="G8" s="148">
        <v>6245000</v>
      </c>
    </row>
    <row r="9" spans="1:8" x14ac:dyDescent="0.25">
      <c r="A9" s="149" t="s">
        <v>252</v>
      </c>
      <c r="B9" s="95"/>
      <c r="C9" s="95"/>
      <c r="D9" s="95"/>
      <c r="E9" s="95"/>
      <c r="F9" s="148"/>
      <c r="G9" s="148">
        <v>26440725</v>
      </c>
    </row>
    <row r="10" spans="1:8" x14ac:dyDescent="0.25">
      <c r="A10" s="149" t="s">
        <v>253</v>
      </c>
      <c r="B10" s="95"/>
      <c r="C10" s="95"/>
      <c r="D10" s="95"/>
      <c r="E10" s="95"/>
      <c r="F10" s="148"/>
      <c r="G10" s="148">
        <v>21615046</v>
      </c>
    </row>
    <row r="11" spans="1:8" x14ac:dyDescent="0.25">
      <c r="A11" s="150" t="s">
        <v>254</v>
      </c>
      <c r="B11" s="151">
        <f>SUM(B3:B8)</f>
        <v>168275424</v>
      </c>
      <c r="C11" s="150"/>
      <c r="D11" s="151">
        <f>SUM(D3:D8)</f>
        <v>54688352.710000008</v>
      </c>
      <c r="E11" s="150"/>
      <c r="F11" s="152">
        <f>SUM(F3:F8)</f>
        <v>222963776.71000001</v>
      </c>
      <c r="G11" s="152">
        <f>SUM(G3:G10)</f>
        <v>210308765.33333331</v>
      </c>
      <c r="H11" s="18">
        <f>G11-F11</f>
        <v>-12655011.376666695</v>
      </c>
    </row>
    <row r="14" spans="1:8" x14ac:dyDescent="0.25">
      <c r="A14" s="137"/>
      <c r="B14" s="626" t="s">
        <v>263</v>
      </c>
      <c r="C14" s="626"/>
      <c r="D14" s="627" t="s">
        <v>240</v>
      </c>
      <c r="E14" s="627"/>
      <c r="F14" s="628" t="s">
        <v>241</v>
      </c>
      <c r="G14" s="630" t="s">
        <v>242</v>
      </c>
    </row>
    <row r="15" spans="1:8" x14ac:dyDescent="0.25">
      <c r="A15" s="137"/>
      <c r="B15" s="147" t="s">
        <v>243</v>
      </c>
      <c r="C15" s="147" t="s">
        <v>244</v>
      </c>
      <c r="D15" s="147" t="s">
        <v>243</v>
      </c>
      <c r="E15" s="147" t="s">
        <v>244</v>
      </c>
      <c r="F15" s="629"/>
      <c r="G15" s="629"/>
    </row>
    <row r="16" spans="1:8" x14ac:dyDescent="0.25">
      <c r="A16" s="137" t="s">
        <v>245</v>
      </c>
      <c r="B16" s="95">
        <f>B3</f>
        <v>109488061.2</v>
      </c>
      <c r="C16" s="95">
        <v>94656967</v>
      </c>
      <c r="D16" s="95">
        <f>'kiadás 3'!C82+'kiadás 3'!C85+'kiadás 3'!C88</f>
        <v>41363069.340000004</v>
      </c>
      <c r="E16" s="95">
        <f>((164*81700*8/12)+(150*81700*4/12))</f>
        <v>13017533.333333334</v>
      </c>
      <c r="F16" s="148">
        <f>B16+D16</f>
        <v>150851130.54000002</v>
      </c>
      <c r="G16" s="148">
        <f>C16+E16</f>
        <v>107674500.33333333</v>
      </c>
    </row>
    <row r="17" spans="1:11" x14ac:dyDescent="0.25">
      <c r="A17" s="137" t="s">
        <v>246</v>
      </c>
      <c r="B17" s="95">
        <f>'kiadás 3'!C348+'kiadás 3'!C352</f>
        <v>13298815.4</v>
      </c>
      <c r="C17" s="95">
        <f>9721800+1764000+802000</f>
        <v>12287800</v>
      </c>
      <c r="D17" s="95">
        <f>'kiadás 3'!C370+'kiadás 3'!C373</f>
        <v>3068345.1</v>
      </c>
      <c r="E17" s="95">
        <f>((15*81700*8/12)+(15*81700*4/12))</f>
        <v>1225500</v>
      </c>
      <c r="F17" s="148">
        <f t="shared" ref="F17:G21" si="1">B17+D17</f>
        <v>16367160.5</v>
      </c>
      <c r="G17" s="148">
        <f t="shared" si="1"/>
        <v>13513300</v>
      </c>
      <c r="H17" t="s">
        <v>255</v>
      </c>
      <c r="K17" s="153"/>
    </row>
    <row r="18" spans="1:11" x14ac:dyDescent="0.25">
      <c r="A18" s="137" t="s">
        <v>248</v>
      </c>
      <c r="B18" s="95">
        <f>B5</f>
        <v>10205208</v>
      </c>
      <c r="C18" s="95">
        <f>C5</f>
        <v>10405000</v>
      </c>
      <c r="D18" s="95">
        <f>'kiadás 3'!C327</f>
        <v>3457554.92</v>
      </c>
      <c r="E18" s="95">
        <v>3457555</v>
      </c>
      <c r="F18" s="148">
        <f t="shared" si="1"/>
        <v>13662762.92</v>
      </c>
      <c r="G18" s="148">
        <f t="shared" si="1"/>
        <v>13862555</v>
      </c>
    </row>
    <row r="19" spans="1:11" x14ac:dyDescent="0.25">
      <c r="A19" s="137" t="s">
        <v>249</v>
      </c>
      <c r="B19" s="95">
        <f t="shared" ref="B19:B21" si="2">B6</f>
        <v>20767101.800000001</v>
      </c>
      <c r="C19" s="95">
        <v>5566463</v>
      </c>
      <c r="D19" s="95">
        <f>'kiadás 3'!C228+'kiadás 3'!C232</f>
        <v>4937655.5999999996</v>
      </c>
      <c r="E19" s="95">
        <v>13500000</v>
      </c>
      <c r="F19" s="148">
        <f t="shared" si="1"/>
        <v>25704757.399999999</v>
      </c>
      <c r="G19" s="148">
        <f t="shared" si="1"/>
        <v>19066463</v>
      </c>
    </row>
    <row r="20" spans="1:11" x14ac:dyDescent="0.25">
      <c r="A20" s="137" t="s">
        <v>250</v>
      </c>
      <c r="B20" s="95">
        <f t="shared" si="2"/>
        <v>12098266.4</v>
      </c>
      <c r="C20" s="95">
        <v>3095609</v>
      </c>
      <c r="D20" s="95">
        <f>'kiadás 3'!C288+'kiadás 3'!C292</f>
        <v>2886687.6</v>
      </c>
      <c r="E20" s="95">
        <v>3300000</v>
      </c>
      <c r="F20" s="148">
        <f t="shared" si="1"/>
        <v>14984954</v>
      </c>
      <c r="G20" s="148">
        <f t="shared" si="1"/>
        <v>6395609</v>
      </c>
      <c r="K20" s="137"/>
    </row>
    <row r="21" spans="1:11" x14ac:dyDescent="0.25">
      <c r="A21" s="137" t="s">
        <v>251</v>
      </c>
      <c r="B21" s="95">
        <f t="shared" si="2"/>
        <v>6786000</v>
      </c>
      <c r="C21" s="95"/>
      <c r="D21" s="95">
        <v>0</v>
      </c>
      <c r="E21" s="95"/>
      <c r="F21" s="148">
        <f t="shared" si="1"/>
        <v>6786000</v>
      </c>
      <c r="G21" s="148">
        <v>6245000</v>
      </c>
    </row>
    <row r="22" spans="1:11" x14ac:dyDescent="0.25">
      <c r="A22" s="149" t="s">
        <v>252</v>
      </c>
      <c r="B22" s="95"/>
      <c r="C22" s="95"/>
      <c r="D22" s="95"/>
      <c r="E22" s="95"/>
      <c r="F22" s="148"/>
      <c r="G22" s="148">
        <v>26440725</v>
      </c>
    </row>
    <row r="23" spans="1:11" x14ac:dyDescent="0.25">
      <c r="A23" s="149" t="s">
        <v>253</v>
      </c>
      <c r="B23" s="95"/>
      <c r="C23" s="95"/>
      <c r="D23" s="95"/>
      <c r="E23" s="95"/>
      <c r="F23" s="148"/>
      <c r="G23" s="148">
        <v>21615046</v>
      </c>
    </row>
    <row r="24" spans="1:11" x14ac:dyDescent="0.25">
      <c r="A24" s="150" t="s">
        <v>256</v>
      </c>
      <c r="B24" s="151">
        <f>SUM(B16:B21)</f>
        <v>172643452.80000001</v>
      </c>
      <c r="C24" s="150"/>
      <c r="D24" s="151">
        <f>SUM(D16:D21)</f>
        <v>55713312.56000001</v>
      </c>
      <c r="E24" s="150"/>
      <c r="F24" s="152">
        <f>SUM(F16:F21)</f>
        <v>228356765.36000001</v>
      </c>
      <c r="G24" s="152">
        <f>SUM(G16:G23)</f>
        <v>214813198.33333331</v>
      </c>
      <c r="H24" s="18">
        <f>G24-F24</f>
        <v>-13543567.026666701</v>
      </c>
    </row>
    <row r="27" spans="1:11" x14ac:dyDescent="0.25">
      <c r="A27" t="s">
        <v>262</v>
      </c>
    </row>
  </sheetData>
  <mergeCells count="8">
    <mergeCell ref="B1:C1"/>
    <mergeCell ref="D1:E1"/>
    <mergeCell ref="F1:F2"/>
    <mergeCell ref="G1:G2"/>
    <mergeCell ref="B14:C14"/>
    <mergeCell ref="D14:E14"/>
    <mergeCell ref="F14:F15"/>
    <mergeCell ref="G14:G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9"/>
  <sheetViews>
    <sheetView topLeftCell="A4" workbookViewId="0">
      <selection activeCell="B9" sqref="B9"/>
    </sheetView>
  </sheetViews>
  <sheetFormatPr defaultRowHeight="15" x14ac:dyDescent="0.25"/>
  <cols>
    <col min="1" max="1" width="49.28515625" bestFit="1" customWidth="1"/>
    <col min="2" max="2" width="21.140625" customWidth="1"/>
    <col min="3" max="3" width="27.5703125" customWidth="1"/>
    <col min="4" max="4" width="17.28515625" customWidth="1"/>
    <col min="5" max="6" width="18" customWidth="1"/>
    <col min="7" max="7" width="18.28515625" customWidth="1"/>
    <col min="8" max="8" width="12.7109375" bestFit="1" customWidth="1"/>
  </cols>
  <sheetData>
    <row r="3" spans="1:8" x14ac:dyDescent="0.25">
      <c r="A3" s="137"/>
      <c r="B3" s="626" t="s">
        <v>260</v>
      </c>
      <c r="C3" s="626"/>
      <c r="D3" s="627" t="s">
        <v>240</v>
      </c>
      <c r="E3" s="627"/>
      <c r="F3" s="628" t="s">
        <v>241</v>
      </c>
      <c r="G3" s="630" t="s">
        <v>242</v>
      </c>
    </row>
    <row r="4" spans="1:8" x14ac:dyDescent="0.25">
      <c r="A4" s="137"/>
      <c r="B4" s="147" t="s">
        <v>243</v>
      </c>
      <c r="C4" s="147" t="s">
        <v>244</v>
      </c>
      <c r="D4" s="147" t="s">
        <v>243</v>
      </c>
      <c r="E4" s="147" t="s">
        <v>244</v>
      </c>
      <c r="F4" s="629"/>
      <c r="G4" s="629"/>
    </row>
    <row r="5" spans="1:8" x14ac:dyDescent="0.25">
      <c r="A5" s="137" t="s">
        <v>245</v>
      </c>
      <c r="B5" s="95">
        <f>'kiadás 1'!C18+'kiadás 1'!C25</f>
        <v>111397398.44</v>
      </c>
      <c r="C5" s="95">
        <f>43895400+19590900+12642000+5586000+2205000+4410000+3208000+133667+2986000</f>
        <v>94656967</v>
      </c>
      <c r="D5" s="95">
        <f>'kiadás 1'!C82+'kiadás 1'!C85+'kiadás 1'!C88</f>
        <v>42067919.340000004</v>
      </c>
      <c r="E5" s="95">
        <f>((164*81700*8/12)+(150*81700*4/12))</f>
        <v>13017533.333333334</v>
      </c>
      <c r="F5" s="148">
        <f>B5+D5</f>
        <v>153465317.78</v>
      </c>
      <c r="G5" s="148">
        <f>C5+E5</f>
        <v>107674500.33333333</v>
      </c>
    </row>
    <row r="6" spans="1:8" x14ac:dyDescent="0.25">
      <c r="A6" s="137" t="s">
        <v>246</v>
      </c>
      <c r="B6" s="95">
        <f>'kiadás 1'!C133+'kiadás 1'!C137</f>
        <v>9077107.5600000005</v>
      </c>
      <c r="C6" s="95">
        <f>6481200+1176000+534667</f>
        <v>8191867</v>
      </c>
      <c r="D6" s="95">
        <f>'kiadás 1'!C155+'kiadás 1'!C158</f>
        <v>2043385.25</v>
      </c>
      <c r="E6" s="95">
        <f>(15*81700*8/12)</f>
        <v>817000</v>
      </c>
      <c r="F6" s="148">
        <f t="shared" ref="F6:G10" si="0">B6+D6</f>
        <v>11120492.810000001</v>
      </c>
      <c r="G6" s="148">
        <f>C6+E6</f>
        <v>9008867</v>
      </c>
      <c r="H6" t="s">
        <v>247</v>
      </c>
    </row>
    <row r="7" spans="1:8" x14ac:dyDescent="0.25">
      <c r="A7" s="137" t="s">
        <v>248</v>
      </c>
      <c r="B7" s="95">
        <f>'kiadás 1'!C303+'kiadás 1'!C305</f>
        <v>10375294.800000001</v>
      </c>
      <c r="C7" s="95">
        <f>5986000+4419000</f>
        <v>10405000</v>
      </c>
      <c r="D7" s="95">
        <f>'kiadás 1'!C327+'kiadás 1'!C321+'kiadás 1'!C324</f>
        <v>2752704.92</v>
      </c>
      <c r="E7" s="95">
        <v>2752705</v>
      </c>
      <c r="F7" s="148">
        <f t="shared" si="0"/>
        <v>13127999.720000001</v>
      </c>
      <c r="G7" s="148">
        <f>C7+E7</f>
        <v>13157705</v>
      </c>
    </row>
    <row r="8" spans="1:8" x14ac:dyDescent="0.25">
      <c r="A8" s="137" t="s">
        <v>249</v>
      </c>
      <c r="B8" s="95">
        <f>'kiadás 1'!C174+'kiadás 1'!C179</f>
        <v>21112499.079999998</v>
      </c>
      <c r="C8" s="95">
        <f>4418340+1148123</f>
        <v>5566463</v>
      </c>
      <c r="D8" s="95">
        <f>'kiadás 1'!C232+'kiadás 1'!C228</f>
        <v>4937655.5999999996</v>
      </c>
      <c r="E8" s="95">
        <v>13500000</v>
      </c>
      <c r="F8" s="148">
        <f t="shared" si="0"/>
        <v>26050154.68</v>
      </c>
      <c r="G8" s="148">
        <f>C8+E8</f>
        <v>19066463</v>
      </c>
    </row>
    <row r="9" spans="1:8" x14ac:dyDescent="0.25">
      <c r="A9" s="137" t="s">
        <v>250</v>
      </c>
      <c r="B9" s="95">
        <f>'kiadás 1'!C244+'kiadás 1'!C248</f>
        <v>12297825.84</v>
      </c>
      <c r="C9" s="95">
        <f>2517972+577637</f>
        <v>3095609</v>
      </c>
      <c r="D9" s="95">
        <f>[1]Kiadások!C288+[1]Kiadások!C292</f>
        <v>2886687.6</v>
      </c>
      <c r="E9" s="95">
        <v>3300000</v>
      </c>
      <c r="F9" s="148">
        <f t="shared" si="0"/>
        <v>15184513.439999999</v>
      </c>
      <c r="G9" s="148">
        <f t="shared" si="0"/>
        <v>6395609</v>
      </c>
    </row>
    <row r="10" spans="1:8" x14ac:dyDescent="0.25">
      <c r="A10" s="137" t="s">
        <v>251</v>
      </c>
      <c r="B10" s="95">
        <f>'kiadás 1'!C101+'kiadás 1'!C103</f>
        <v>6899100</v>
      </c>
      <c r="C10" s="95"/>
      <c r="D10" s="95">
        <v>0</v>
      </c>
      <c r="E10" s="95"/>
      <c r="F10" s="148">
        <f t="shared" si="0"/>
        <v>6899100</v>
      </c>
      <c r="G10" s="148">
        <v>6245000</v>
      </c>
    </row>
    <row r="11" spans="1:8" x14ac:dyDescent="0.25">
      <c r="A11" s="149" t="s">
        <v>252</v>
      </c>
      <c r="B11" s="95"/>
      <c r="C11" s="95"/>
      <c r="D11" s="95"/>
      <c r="E11" s="95"/>
      <c r="F11" s="148"/>
      <c r="G11" s="148">
        <v>26440725</v>
      </c>
    </row>
    <row r="12" spans="1:8" x14ac:dyDescent="0.25">
      <c r="A12" s="149" t="s">
        <v>253</v>
      </c>
      <c r="B12" s="95"/>
      <c r="C12" s="95"/>
      <c r="D12" s="95"/>
      <c r="E12" s="95"/>
      <c r="F12" s="148"/>
      <c r="G12" s="148">
        <v>21615046</v>
      </c>
    </row>
    <row r="13" spans="1:8" x14ac:dyDescent="0.25">
      <c r="A13" s="150" t="s">
        <v>254</v>
      </c>
      <c r="B13" s="151">
        <f>SUM(B5:B10)</f>
        <v>171159225.72</v>
      </c>
      <c r="C13" s="151">
        <f>SUM(C5:C12)</f>
        <v>121915906</v>
      </c>
      <c r="D13" s="151">
        <f>SUM(D5:D10)</f>
        <v>54688352.710000008</v>
      </c>
      <c r="E13" s="150"/>
      <c r="F13" s="152">
        <f>SUM(F5:F10)</f>
        <v>225847578.43000001</v>
      </c>
      <c r="G13" s="152">
        <f>SUM(G5:G12)</f>
        <v>209603915.33333331</v>
      </c>
      <c r="H13" s="18">
        <f>G13-F13</f>
        <v>-16243663.096666694</v>
      </c>
    </row>
    <row r="16" spans="1:8" x14ac:dyDescent="0.25">
      <c r="A16" s="137"/>
      <c r="B16" s="626" t="s">
        <v>260</v>
      </c>
      <c r="C16" s="626"/>
      <c r="D16" s="627" t="s">
        <v>240</v>
      </c>
      <c r="E16" s="627"/>
      <c r="F16" s="628" t="s">
        <v>241</v>
      </c>
      <c r="G16" s="630" t="s">
        <v>242</v>
      </c>
    </row>
    <row r="17" spans="1:11" x14ac:dyDescent="0.25">
      <c r="A17" s="137"/>
      <c r="B17" s="147" t="s">
        <v>243</v>
      </c>
      <c r="C17" s="147" t="s">
        <v>244</v>
      </c>
      <c r="D17" s="147" t="s">
        <v>243</v>
      </c>
      <c r="E17" s="147" t="s">
        <v>244</v>
      </c>
      <c r="F17" s="629"/>
      <c r="G17" s="629"/>
    </row>
    <row r="18" spans="1:11" x14ac:dyDescent="0.25">
      <c r="A18" s="137" t="s">
        <v>245</v>
      </c>
      <c r="B18" s="95">
        <f>B5</f>
        <v>111397398.44</v>
      </c>
      <c r="C18" s="95">
        <v>94656967</v>
      </c>
      <c r="D18" s="95">
        <f>[1]Kiadások!C82+[1]Kiadások!C85+[1]Kiadások!C88</f>
        <v>42067919.340000004</v>
      </c>
      <c r="E18" s="95">
        <f>((164*81700*8/12)+(150*81700*4/12))</f>
        <v>13017533.333333334</v>
      </c>
      <c r="F18" s="148">
        <f>B18+D18</f>
        <v>153465317.78</v>
      </c>
      <c r="G18" s="148">
        <f>C18+E18</f>
        <v>107674500.33333333</v>
      </c>
    </row>
    <row r="19" spans="1:11" x14ac:dyDescent="0.25">
      <c r="A19" s="137" t="s">
        <v>246</v>
      </c>
      <c r="B19" s="95">
        <f>'kiadás 1'!C342+'kiadás 1'!C346</f>
        <v>13517936.84</v>
      </c>
      <c r="C19" s="95">
        <f>9721800+1764000+802000</f>
        <v>12287800</v>
      </c>
      <c r="D19" s="95">
        <f>[1]Kiadások!C364+[1]Kiadások!C367</f>
        <v>3068345.1</v>
      </c>
      <c r="E19" s="95">
        <f>((15*81700*8/12)+(15*81700*4/12))</f>
        <v>1225500</v>
      </c>
      <c r="F19" s="148">
        <f t="shared" ref="F19:G23" si="1">B19+D19</f>
        <v>16586281.939999999</v>
      </c>
      <c r="G19" s="148">
        <f t="shared" si="1"/>
        <v>13513300</v>
      </c>
      <c r="H19" t="s">
        <v>255</v>
      </c>
      <c r="K19" s="153"/>
    </row>
    <row r="20" spans="1:11" x14ac:dyDescent="0.25">
      <c r="A20" s="137" t="s">
        <v>248</v>
      </c>
      <c r="B20" s="95">
        <f>B7</f>
        <v>10375294.800000001</v>
      </c>
      <c r="C20" s="95">
        <f>C7</f>
        <v>10405000</v>
      </c>
      <c r="D20" s="95">
        <f>[1]Kiadások!C321+[1]Kiadások!C3327+[1]Kiadások!C324</f>
        <v>2680704.92</v>
      </c>
      <c r="E20" s="95">
        <v>2680705</v>
      </c>
      <c r="F20" s="148">
        <f t="shared" si="1"/>
        <v>13055999.720000001</v>
      </c>
      <c r="G20" s="148">
        <f t="shared" si="1"/>
        <v>13085705</v>
      </c>
    </row>
    <row r="21" spans="1:11" x14ac:dyDescent="0.25">
      <c r="A21" s="137" t="s">
        <v>249</v>
      </c>
      <c r="B21" s="95">
        <f t="shared" ref="B21:B23" si="2">B8</f>
        <v>21112499.079999998</v>
      </c>
      <c r="C21" s="95">
        <v>5566463</v>
      </c>
      <c r="D21" s="95">
        <f>[1]Kiadások!C228+[1]Kiadások!C232</f>
        <v>4937655.5999999996</v>
      </c>
      <c r="E21" s="95">
        <v>13500000</v>
      </c>
      <c r="F21" s="148">
        <f t="shared" si="1"/>
        <v>26050154.68</v>
      </c>
      <c r="G21" s="148">
        <f t="shared" si="1"/>
        <v>19066463</v>
      </c>
    </row>
    <row r="22" spans="1:11" x14ac:dyDescent="0.25">
      <c r="A22" s="137" t="s">
        <v>250</v>
      </c>
      <c r="B22" s="95">
        <f t="shared" si="2"/>
        <v>12297825.84</v>
      </c>
      <c r="C22" s="95">
        <v>3095609</v>
      </c>
      <c r="D22" s="95">
        <f>[1]Kiadások!C288+[1]Kiadások!C292</f>
        <v>2886687.6</v>
      </c>
      <c r="E22" s="95">
        <v>3300000</v>
      </c>
      <c r="F22" s="148">
        <f t="shared" si="1"/>
        <v>15184513.439999999</v>
      </c>
      <c r="G22" s="148">
        <f t="shared" si="1"/>
        <v>6395609</v>
      </c>
      <c r="K22" s="137"/>
    </row>
    <row r="23" spans="1:11" x14ac:dyDescent="0.25">
      <c r="A23" s="137" t="s">
        <v>251</v>
      </c>
      <c r="B23" s="95">
        <f t="shared" si="2"/>
        <v>6899100</v>
      </c>
      <c r="C23" s="95"/>
      <c r="D23" s="95">
        <v>0</v>
      </c>
      <c r="E23" s="95"/>
      <c r="F23" s="148">
        <f t="shared" si="1"/>
        <v>6899100</v>
      </c>
      <c r="G23" s="148">
        <v>6245000</v>
      </c>
    </row>
    <row r="24" spans="1:11" x14ac:dyDescent="0.25">
      <c r="A24" s="149" t="s">
        <v>252</v>
      </c>
      <c r="B24" s="95"/>
      <c r="C24" s="95"/>
      <c r="D24" s="95"/>
      <c r="E24" s="95"/>
      <c r="F24" s="148"/>
      <c r="G24" s="148">
        <v>26440725</v>
      </c>
    </row>
    <row r="25" spans="1:11" x14ac:dyDescent="0.25">
      <c r="A25" s="149" t="s">
        <v>253</v>
      </c>
      <c r="B25" s="95"/>
      <c r="C25" s="95"/>
      <c r="D25" s="95"/>
      <c r="E25" s="95"/>
      <c r="F25" s="148"/>
      <c r="G25" s="148">
        <v>21615046</v>
      </c>
    </row>
    <row r="26" spans="1:11" x14ac:dyDescent="0.25">
      <c r="A26" s="150" t="s">
        <v>256</v>
      </c>
      <c r="B26" s="151">
        <f>SUM(B18:B23)</f>
        <v>175600055.00000003</v>
      </c>
      <c r="C26" s="150"/>
      <c r="D26" s="151">
        <f>SUM(D18:D23)</f>
        <v>55641312.56000001</v>
      </c>
      <c r="E26" s="150"/>
      <c r="F26" s="152">
        <f>SUM(F18:F23)</f>
        <v>231241367.56</v>
      </c>
      <c r="G26" s="152">
        <f>SUM(G18:G25)</f>
        <v>214036348.33333331</v>
      </c>
      <c r="H26" s="18">
        <f>G26-F26</f>
        <v>-17205019.226666689</v>
      </c>
    </row>
    <row r="29" spans="1:11" x14ac:dyDescent="0.25">
      <c r="A29" t="s">
        <v>261</v>
      </c>
    </row>
  </sheetData>
  <mergeCells count="8">
    <mergeCell ref="B3:C3"/>
    <mergeCell ref="D3:E3"/>
    <mergeCell ref="F3:F4"/>
    <mergeCell ref="G3:G4"/>
    <mergeCell ref="B16:C16"/>
    <mergeCell ref="D16:E16"/>
    <mergeCell ref="F16:F17"/>
    <mergeCell ref="G16:G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9"/>
  <sheetViews>
    <sheetView tabSelected="1" showWhiteSpace="0" view="pageBreakPreview" zoomScaleNormal="100" zoomScaleSheetLayoutView="100" workbookViewId="0">
      <selection activeCell="G6" sqref="G6:G7"/>
    </sheetView>
  </sheetViews>
  <sheetFormatPr defaultRowHeight="15" x14ac:dyDescent="0.25"/>
  <cols>
    <col min="2" max="2" width="28.140625" customWidth="1"/>
    <col min="3" max="5" width="14.42578125" customWidth="1"/>
    <col min="6" max="7" width="14.28515625" customWidth="1"/>
    <col min="8" max="8" width="14.28515625" hidden="1" customWidth="1"/>
    <col min="9" max="10" width="14.42578125" hidden="1" customWidth="1"/>
    <col min="11" max="11" width="14.7109375" hidden="1" customWidth="1"/>
    <col min="14" max="14" width="12" bestFit="1" customWidth="1"/>
  </cols>
  <sheetData>
    <row r="1" spans="1:18" ht="48.6" customHeight="1" x14ac:dyDescent="0.25">
      <c r="A1" s="631" t="s">
        <v>699</v>
      </c>
      <c r="B1" s="631"/>
      <c r="C1" s="631"/>
      <c r="D1" s="631"/>
      <c r="E1" s="631"/>
      <c r="F1" s="631"/>
      <c r="G1" s="631"/>
      <c r="H1" s="325"/>
      <c r="I1" s="325"/>
      <c r="J1" s="325"/>
      <c r="K1" s="325"/>
    </row>
    <row r="2" spans="1:18" ht="48.6" customHeight="1" x14ac:dyDescent="0.25">
      <c r="A2" s="336"/>
      <c r="B2" s="337"/>
      <c r="C2" s="337"/>
      <c r="D2" s="337"/>
      <c r="E2" s="337"/>
      <c r="F2" s="337"/>
      <c r="G2" s="337"/>
      <c r="H2" s="325"/>
      <c r="I2" s="325"/>
      <c r="J2" s="325"/>
      <c r="K2" s="338"/>
    </row>
    <row r="3" spans="1:18" s="161" customFormat="1" ht="23.25" customHeight="1" x14ac:dyDescent="0.25">
      <c r="A3" s="632" t="s">
        <v>495</v>
      </c>
      <c r="B3" s="638" t="s">
        <v>274</v>
      </c>
      <c r="C3" s="638" t="s">
        <v>508</v>
      </c>
      <c r="D3" s="638" t="s">
        <v>509</v>
      </c>
      <c r="E3" s="638" t="s">
        <v>332</v>
      </c>
      <c r="F3" s="638" t="s">
        <v>283</v>
      </c>
      <c r="G3" s="643" t="s">
        <v>510</v>
      </c>
      <c r="H3" s="635" t="s">
        <v>290</v>
      </c>
      <c r="I3" s="636"/>
      <c r="J3" s="637"/>
      <c r="K3" s="641" t="s">
        <v>288</v>
      </c>
    </row>
    <row r="4" spans="1:18" s="161" customFormat="1" ht="36.75" customHeight="1" x14ac:dyDescent="0.25">
      <c r="A4" s="632"/>
      <c r="B4" s="639"/>
      <c r="C4" s="639"/>
      <c r="D4" s="639"/>
      <c r="E4" s="639"/>
      <c r="F4" s="639"/>
      <c r="G4" s="644"/>
      <c r="H4" s="157" t="s">
        <v>291</v>
      </c>
      <c r="I4" s="157" t="s">
        <v>292</v>
      </c>
      <c r="J4" s="157" t="s">
        <v>293</v>
      </c>
      <c r="K4" s="642"/>
    </row>
    <row r="5" spans="1:18" s="161" customFormat="1" ht="63" customHeight="1" x14ac:dyDescent="0.25">
      <c r="A5" s="400" t="s">
        <v>521</v>
      </c>
      <c r="B5" s="401" t="s">
        <v>494</v>
      </c>
      <c r="C5" s="366"/>
      <c r="D5" s="366">
        <v>5241612</v>
      </c>
      <c r="E5" s="366">
        <f>SUM(C5:D5)</f>
        <v>5241612</v>
      </c>
      <c r="F5" s="366">
        <v>2575294</v>
      </c>
      <c r="G5" s="402">
        <f>SUM(E5:F5)</f>
        <v>7816906</v>
      </c>
      <c r="H5" s="366"/>
      <c r="I5" s="366"/>
      <c r="J5" s="366"/>
      <c r="K5" s="403"/>
      <c r="M5" s="640"/>
      <c r="N5" s="640"/>
      <c r="O5" s="640"/>
      <c r="P5" s="640"/>
      <c r="Q5" s="640"/>
      <c r="R5" s="640"/>
    </row>
    <row r="6" spans="1:18" s="161" customFormat="1" ht="46.5" customHeight="1" x14ac:dyDescent="0.25">
      <c r="A6" s="400" t="s">
        <v>528</v>
      </c>
      <c r="B6" s="401" t="s">
        <v>529</v>
      </c>
      <c r="C6" s="366"/>
      <c r="D6" s="366"/>
      <c r="E6" s="366">
        <f t="shared" ref="E6" si="0">SUM(C6:D6)</f>
        <v>0</v>
      </c>
      <c r="F6" s="366">
        <f>SUM('EFOP-3.9.2 projekt'!D25)</f>
        <v>3720988</v>
      </c>
      <c r="G6" s="402">
        <f t="shared" ref="G6:G7" si="1">SUM(E6:F6)</f>
        <v>3720988</v>
      </c>
      <c r="H6" s="366"/>
      <c r="I6" s="366"/>
      <c r="J6" s="366"/>
      <c r="K6" s="403"/>
      <c r="M6" s="640"/>
      <c r="N6" s="640"/>
      <c r="O6" s="640"/>
      <c r="P6" s="640"/>
      <c r="Q6" s="640"/>
      <c r="R6" s="640"/>
    </row>
    <row r="7" spans="1:18" s="591" customFormat="1" ht="46.5" customHeight="1" x14ac:dyDescent="0.25">
      <c r="A7" s="400" t="s">
        <v>837</v>
      </c>
      <c r="B7" s="828" t="s">
        <v>838</v>
      </c>
      <c r="C7" s="366"/>
      <c r="D7" s="366"/>
      <c r="E7" s="366"/>
      <c r="F7" s="366">
        <v>11500010</v>
      </c>
      <c r="G7" s="402">
        <f t="shared" si="1"/>
        <v>11500010</v>
      </c>
      <c r="H7" s="366"/>
      <c r="I7" s="366"/>
      <c r="J7" s="366"/>
      <c r="K7" s="403"/>
      <c r="M7" s="590"/>
      <c r="N7" s="590"/>
      <c r="O7" s="590"/>
      <c r="P7" s="590"/>
      <c r="Q7" s="590"/>
      <c r="R7" s="590"/>
    </row>
    <row r="8" spans="1:18" x14ac:dyDescent="0.25">
      <c r="A8" s="164" t="s">
        <v>295</v>
      </c>
      <c r="B8" s="137" t="s">
        <v>464</v>
      </c>
      <c r="C8" s="95"/>
      <c r="D8" s="95"/>
      <c r="E8" s="95">
        <f t="shared" ref="E8:E14" si="2">SUM(C8:D8)</f>
        <v>0</v>
      </c>
      <c r="F8" s="95"/>
      <c r="G8" s="374">
        <f t="shared" ref="G8:G14" si="3">SUM(E8:F8)</f>
        <v>0</v>
      </c>
      <c r="H8" s="95"/>
      <c r="I8" s="95"/>
      <c r="J8" s="95"/>
      <c r="K8" s="314">
        <f t="shared" ref="K8:K14" si="4">SUM(G8:J8)</f>
        <v>0</v>
      </c>
      <c r="M8" s="161"/>
    </row>
    <row r="9" spans="1:18" x14ac:dyDescent="0.25">
      <c r="A9" s="164" t="s">
        <v>276</v>
      </c>
      <c r="B9" s="137" t="s">
        <v>463</v>
      </c>
      <c r="C9" s="95">
        <f>SUM('Gyermekétkeztetés bevételei'!D10)</f>
        <v>3312337.8</v>
      </c>
      <c r="D9" s="95"/>
      <c r="E9" s="95">
        <f t="shared" si="2"/>
        <v>3312337.8</v>
      </c>
      <c r="F9" s="95"/>
      <c r="G9" s="374">
        <f t="shared" si="3"/>
        <v>3312337.8</v>
      </c>
      <c r="H9" s="95"/>
      <c r="I9" s="95"/>
      <c r="J9" s="95"/>
      <c r="K9" s="314">
        <f t="shared" si="4"/>
        <v>3312337.8</v>
      </c>
    </row>
    <row r="10" spans="1:18" x14ac:dyDescent="0.25">
      <c r="A10" s="164" t="s">
        <v>299</v>
      </c>
      <c r="B10" s="137" t="s">
        <v>298</v>
      </c>
      <c r="C10" s="95"/>
      <c r="D10" s="95"/>
      <c r="E10" s="95">
        <f t="shared" si="2"/>
        <v>0</v>
      </c>
      <c r="F10" s="95"/>
      <c r="G10" s="374">
        <f t="shared" si="3"/>
        <v>0</v>
      </c>
      <c r="H10" s="95"/>
      <c r="I10" s="95"/>
      <c r="J10" s="95"/>
      <c r="K10" s="314">
        <f t="shared" si="4"/>
        <v>0</v>
      </c>
    </row>
    <row r="11" spans="1:18" x14ac:dyDescent="0.25">
      <c r="A11" s="164" t="s">
        <v>300</v>
      </c>
      <c r="B11" s="137" t="s">
        <v>462</v>
      </c>
      <c r="C11" s="95">
        <f>SUM('Gyermekétkeztetés bevételei'!D21)</f>
        <v>1891385.6</v>
      </c>
      <c r="D11" s="95"/>
      <c r="E11" s="95">
        <f t="shared" si="2"/>
        <v>1891385.6</v>
      </c>
      <c r="F11" s="95"/>
      <c r="G11" s="374">
        <f t="shared" si="3"/>
        <v>1891385.6</v>
      </c>
      <c r="H11" s="95"/>
      <c r="I11" s="95"/>
      <c r="J11" s="95"/>
      <c r="K11" s="314">
        <f t="shared" si="4"/>
        <v>1891385.6</v>
      </c>
    </row>
    <row r="12" spans="1:18" x14ac:dyDescent="0.25">
      <c r="A12" s="322" t="s">
        <v>297</v>
      </c>
      <c r="B12" s="137" t="s">
        <v>279</v>
      </c>
      <c r="C12" s="95"/>
      <c r="D12" s="95"/>
      <c r="E12" s="95">
        <f t="shared" si="2"/>
        <v>0</v>
      </c>
      <c r="F12" s="95"/>
      <c r="G12" s="374">
        <f t="shared" si="3"/>
        <v>0</v>
      </c>
      <c r="H12" s="95"/>
      <c r="I12" s="95"/>
      <c r="J12" s="95"/>
      <c r="K12" s="314">
        <f t="shared" si="4"/>
        <v>0</v>
      </c>
    </row>
    <row r="13" spans="1:18" x14ac:dyDescent="0.25">
      <c r="A13" s="164" t="s">
        <v>277</v>
      </c>
      <c r="B13" s="137" t="s">
        <v>278</v>
      </c>
      <c r="C13" s="95"/>
      <c r="D13" s="95"/>
      <c r="E13" s="95">
        <f t="shared" si="2"/>
        <v>0</v>
      </c>
      <c r="F13" s="95"/>
      <c r="G13" s="374">
        <f t="shared" si="3"/>
        <v>0</v>
      </c>
      <c r="H13" s="95"/>
      <c r="I13" s="95"/>
      <c r="J13" s="95"/>
      <c r="K13" s="314">
        <f t="shared" si="4"/>
        <v>0</v>
      </c>
    </row>
    <row r="14" spans="1:18" s="161" customFormat="1" ht="33.75" customHeight="1" x14ac:dyDescent="0.25">
      <c r="A14" s="400" t="s">
        <v>296</v>
      </c>
      <c r="B14" s="404" t="s">
        <v>304</v>
      </c>
      <c r="C14" s="366"/>
      <c r="D14" s="366"/>
      <c r="E14" s="366">
        <f t="shared" si="2"/>
        <v>0</v>
      </c>
      <c r="F14" s="366"/>
      <c r="G14" s="402">
        <f t="shared" si="3"/>
        <v>0</v>
      </c>
      <c r="H14" s="366"/>
      <c r="I14" s="366"/>
      <c r="J14" s="366"/>
      <c r="K14" s="403">
        <f t="shared" si="4"/>
        <v>0</v>
      </c>
      <c r="M14" s="640"/>
      <c r="N14" s="640"/>
      <c r="O14" s="640"/>
      <c r="P14" s="640"/>
      <c r="Q14" s="640"/>
      <c r="R14" s="640"/>
    </row>
    <row r="15" spans="1:18" s="163" customFormat="1" x14ac:dyDescent="0.25">
      <c r="A15" s="633" t="s">
        <v>281</v>
      </c>
      <c r="B15" s="634"/>
      <c r="C15" s="162">
        <f>SUM(C5:C14)+1</f>
        <v>5203724.4000000004</v>
      </c>
      <c r="D15" s="162">
        <f t="shared" ref="D15:K15" si="5">SUM(D5:D14)</f>
        <v>5241612</v>
      </c>
      <c r="E15" s="162">
        <f>SUM(E5:E14)+1</f>
        <v>10445336.4</v>
      </c>
      <c r="F15" s="162">
        <f t="shared" si="5"/>
        <v>17796292</v>
      </c>
      <c r="G15" s="162">
        <f>SUM(G5:G14)+1</f>
        <v>28241628.400000002</v>
      </c>
      <c r="H15" s="162">
        <f t="shared" si="5"/>
        <v>0</v>
      </c>
      <c r="I15" s="162">
        <f t="shared" si="5"/>
        <v>0</v>
      </c>
      <c r="J15" s="162">
        <f t="shared" si="5"/>
        <v>0</v>
      </c>
      <c r="K15" s="162">
        <f t="shared" si="5"/>
        <v>5203723.4000000004</v>
      </c>
      <c r="N15" s="166"/>
    </row>
    <row r="19" spans="4:4" x14ac:dyDescent="0.25">
      <c r="D19" s="18">
        <f>SUM(C15:D15)</f>
        <v>10445336.4</v>
      </c>
    </row>
  </sheetData>
  <mergeCells count="14">
    <mergeCell ref="M5:R5"/>
    <mergeCell ref="M6:R6"/>
    <mergeCell ref="M14:R14"/>
    <mergeCell ref="K3:K4"/>
    <mergeCell ref="G3:G4"/>
    <mergeCell ref="A1:G1"/>
    <mergeCell ref="A3:A4"/>
    <mergeCell ref="A15:B15"/>
    <mergeCell ref="H3:J3"/>
    <mergeCell ref="B3:B4"/>
    <mergeCell ref="C3:C4"/>
    <mergeCell ref="E3:E4"/>
    <mergeCell ref="F3:F4"/>
    <mergeCell ref="D3:D4"/>
  </mergeCells>
  <printOptions horizontalCentered="1"/>
  <pageMargins left="0.9055118110236221" right="0.9055118110236221" top="0.94488188976377963" bottom="0.94488188976377963" header="0.31496062992125984" footer="0.31496062992125984"/>
  <pageSetup paperSize="9" orientation="landscape" r:id="rId1"/>
  <headerFooter>
    <oddHeader>&amp;C2023. évi költségvetés - tervezet 
Gyermeklánc Óvoda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153"/>
  <sheetViews>
    <sheetView showWhiteSpace="0" view="pageBreakPreview" zoomScaleNormal="100" zoomScaleSheetLayoutView="100" workbookViewId="0">
      <selection activeCell="F13" sqref="F13"/>
    </sheetView>
  </sheetViews>
  <sheetFormatPr defaultColWidth="8.85546875" defaultRowHeight="15" x14ac:dyDescent="0.25"/>
  <cols>
    <col min="1" max="1" width="7.42578125" style="424" customWidth="1"/>
    <col min="2" max="2" width="42.42578125" style="424" customWidth="1"/>
    <col min="3" max="3" width="13" style="424" bestFit="1" customWidth="1"/>
    <col min="4" max="4" width="15.140625" style="424" customWidth="1"/>
    <col min="5" max="7" width="8.85546875" style="424"/>
    <col min="8" max="8" width="13.42578125" style="424" bestFit="1" customWidth="1"/>
    <col min="9" max="16384" width="8.85546875" style="424"/>
  </cols>
  <sheetData>
    <row r="1" spans="1:8" ht="18.75" x14ac:dyDescent="0.25">
      <c r="A1" s="650" t="s">
        <v>520</v>
      </c>
      <c r="B1" s="650"/>
      <c r="C1" s="650"/>
      <c r="D1" s="650"/>
      <c r="E1" s="534"/>
      <c r="F1" s="7"/>
    </row>
    <row r="2" spans="1:8" ht="18.75" x14ac:dyDescent="0.25">
      <c r="A2" s="535"/>
      <c r="B2" s="535"/>
      <c r="C2" s="535"/>
      <c r="D2" s="535"/>
      <c r="E2" s="534"/>
      <c r="F2" s="7"/>
    </row>
    <row r="3" spans="1:8" ht="24" customHeight="1" x14ac:dyDescent="0.25">
      <c r="A3" s="420" t="s">
        <v>2</v>
      </c>
      <c r="B3" s="645" t="s">
        <v>274</v>
      </c>
      <c r="C3" s="646"/>
      <c r="D3" s="157" t="s">
        <v>288</v>
      </c>
      <c r="H3" s="423" t="s">
        <v>496</v>
      </c>
    </row>
    <row r="4" spans="1:8" s="176" customFormat="1" ht="18" customHeight="1" x14ac:dyDescent="0.25">
      <c r="A4" s="420" t="s">
        <v>275</v>
      </c>
      <c r="B4" s="182" t="s">
        <v>322</v>
      </c>
      <c r="C4" s="183"/>
      <c r="D4" s="181">
        <f>SUM(C6:C7)</f>
        <v>2608140</v>
      </c>
    </row>
    <row r="5" spans="1:8" ht="18" customHeight="1" x14ac:dyDescent="0.25">
      <c r="A5" s="420"/>
      <c r="B5" s="536" t="s">
        <v>323</v>
      </c>
      <c r="C5" s="184"/>
      <c r="D5" s="103"/>
    </row>
    <row r="6" spans="1:8" s="190" customFormat="1" ht="18" customHeight="1" x14ac:dyDescent="0.2">
      <c r="A6" s="186"/>
      <c r="B6" s="187" t="s">
        <v>810</v>
      </c>
      <c r="C6" s="188">
        <f>17*64*630</f>
        <v>685440</v>
      </c>
      <c r="D6" s="189"/>
    </row>
    <row r="7" spans="1:8" s="190" customFormat="1" ht="18" customHeight="1" x14ac:dyDescent="0.2">
      <c r="A7" s="186"/>
      <c r="B7" s="187" t="s">
        <v>811</v>
      </c>
      <c r="C7" s="188">
        <f>17*156*725</f>
        <v>1922700</v>
      </c>
      <c r="D7" s="189"/>
    </row>
    <row r="8" spans="1:8" s="176" customFormat="1" ht="18" customHeight="1" x14ac:dyDescent="0.25">
      <c r="A8" s="420" t="s">
        <v>324</v>
      </c>
      <c r="B8" s="182" t="s">
        <v>325</v>
      </c>
      <c r="C8" s="183"/>
      <c r="D8" s="181">
        <f>SUM(C9)</f>
        <v>704197.8</v>
      </c>
    </row>
    <row r="9" spans="1:8" ht="18" customHeight="1" x14ac:dyDescent="0.25">
      <c r="A9" s="420"/>
      <c r="B9" s="536" t="s">
        <v>326</v>
      </c>
      <c r="C9" s="185">
        <f>SUM(C6+C7)*0.27</f>
        <v>704197.8</v>
      </c>
      <c r="D9" s="103"/>
    </row>
    <row r="10" spans="1:8" s="180" customFormat="1" ht="33.75" customHeight="1" x14ac:dyDescent="0.25">
      <c r="A10" s="647" t="s">
        <v>321</v>
      </c>
      <c r="B10" s="648"/>
      <c r="C10" s="649"/>
      <c r="D10" s="179">
        <f>SUM(D4:D9)</f>
        <v>3312337.8</v>
      </c>
      <c r="H10" s="323">
        <f>SUM(C5:C9)</f>
        <v>3312337.8</v>
      </c>
    </row>
    <row r="11" spans="1:8" s="3" customFormat="1" ht="33.75" customHeight="1" x14ac:dyDescent="0.25">
      <c r="A11" s="537"/>
      <c r="B11" s="537"/>
      <c r="C11" s="538"/>
      <c r="D11" s="538"/>
    </row>
    <row r="12" spans="1:8" ht="18.75" x14ac:dyDescent="0.25">
      <c r="A12" s="650" t="s">
        <v>519</v>
      </c>
      <c r="B12" s="650"/>
      <c r="C12" s="650"/>
      <c r="D12" s="650"/>
      <c r="E12" s="534"/>
      <c r="F12" s="437"/>
    </row>
    <row r="13" spans="1:8" ht="18.75" x14ac:dyDescent="0.25">
      <c r="A13" s="178"/>
      <c r="B13" s="178"/>
      <c r="C13" s="178"/>
      <c r="D13" s="178"/>
      <c r="E13" s="534"/>
      <c r="F13" s="437"/>
    </row>
    <row r="14" spans="1:8" ht="24" customHeight="1" x14ac:dyDescent="0.25">
      <c r="A14" s="529" t="s">
        <v>2</v>
      </c>
      <c r="B14" s="645" t="s">
        <v>274</v>
      </c>
      <c r="C14" s="646"/>
      <c r="D14" s="421" t="s">
        <v>288</v>
      </c>
    </row>
    <row r="15" spans="1:8" s="176" customFormat="1" ht="18" customHeight="1" x14ac:dyDescent="0.25">
      <c r="A15" s="420" t="s">
        <v>275</v>
      </c>
      <c r="B15" s="182" t="s">
        <v>322</v>
      </c>
      <c r="C15" s="183"/>
      <c r="D15" s="181">
        <f>SUM(C17:C18)</f>
        <v>1489280</v>
      </c>
    </row>
    <row r="16" spans="1:8" ht="18" customHeight="1" x14ac:dyDescent="0.25">
      <c r="A16" s="420"/>
      <c r="B16" s="536" t="s">
        <v>323</v>
      </c>
      <c r="C16" s="184"/>
      <c r="D16" s="103"/>
    </row>
    <row r="17" spans="1:8" s="190" customFormat="1" ht="18" customHeight="1" x14ac:dyDescent="0.2">
      <c r="A17" s="186"/>
      <c r="B17" s="187" t="s">
        <v>812</v>
      </c>
      <c r="C17" s="188">
        <f>8*64*730</f>
        <v>373760</v>
      </c>
      <c r="D17" s="189"/>
    </row>
    <row r="18" spans="1:8" s="190" customFormat="1" ht="18" customHeight="1" x14ac:dyDescent="0.2">
      <c r="A18" s="186"/>
      <c r="B18" s="187" t="s">
        <v>813</v>
      </c>
      <c r="C18" s="188">
        <f>8*166*840</f>
        <v>1115520</v>
      </c>
      <c r="D18" s="189"/>
    </row>
    <row r="19" spans="1:8" s="176" customFormat="1" ht="18" customHeight="1" x14ac:dyDescent="0.25">
      <c r="A19" s="420" t="s">
        <v>324</v>
      </c>
      <c r="B19" s="182" t="s">
        <v>325</v>
      </c>
      <c r="C19" s="183"/>
      <c r="D19" s="181">
        <f>SUM(C20)</f>
        <v>402105.60000000003</v>
      </c>
    </row>
    <row r="20" spans="1:8" ht="18" customHeight="1" x14ac:dyDescent="0.25">
      <c r="A20" s="420"/>
      <c r="B20" s="536" t="s">
        <v>326</v>
      </c>
      <c r="C20" s="185">
        <f>SUM(C17+C18)*0.27</f>
        <v>402105.60000000003</v>
      </c>
      <c r="D20" s="103"/>
    </row>
    <row r="21" spans="1:8" s="180" customFormat="1" ht="21.75" customHeight="1" x14ac:dyDescent="0.25">
      <c r="A21" s="647" t="s">
        <v>289</v>
      </c>
      <c r="B21" s="648"/>
      <c r="C21" s="649"/>
      <c r="D21" s="179">
        <f>SUM(D15:D20)</f>
        <v>1891385.6</v>
      </c>
      <c r="H21" s="324">
        <f>SUM(C17:C20)</f>
        <v>1891385.6</v>
      </c>
    </row>
    <row r="22" spans="1:8" x14ac:dyDescent="0.25">
      <c r="A22" s="539"/>
    </row>
    <row r="23" spans="1:8" x14ac:dyDescent="0.25">
      <c r="A23" s="539"/>
    </row>
    <row r="24" spans="1:8" x14ac:dyDescent="0.25">
      <c r="A24" s="539"/>
      <c r="B24" s="377"/>
      <c r="C24" s="540"/>
    </row>
    <row r="25" spans="1:8" x14ac:dyDescent="0.25">
      <c r="A25" s="539"/>
      <c r="C25" s="304"/>
    </row>
    <row r="26" spans="1:8" x14ac:dyDescent="0.25">
      <c r="A26" s="539"/>
    </row>
    <row r="27" spans="1:8" x14ac:dyDescent="0.25">
      <c r="A27" s="539"/>
    </row>
    <row r="28" spans="1:8" x14ac:dyDescent="0.25">
      <c r="A28" s="539"/>
    </row>
    <row r="29" spans="1:8" x14ac:dyDescent="0.25">
      <c r="A29" s="539"/>
    </row>
    <row r="30" spans="1:8" x14ac:dyDescent="0.25">
      <c r="A30" s="539"/>
    </row>
    <row r="31" spans="1:8" x14ac:dyDescent="0.25">
      <c r="A31" s="539"/>
    </row>
    <row r="32" spans="1:8" x14ac:dyDescent="0.25">
      <c r="A32" s="539"/>
    </row>
    <row r="33" spans="1:1" x14ac:dyDescent="0.25">
      <c r="A33" s="539"/>
    </row>
    <row r="34" spans="1:1" x14ac:dyDescent="0.25">
      <c r="A34" s="539"/>
    </row>
    <row r="35" spans="1:1" x14ac:dyDescent="0.25">
      <c r="A35" s="539"/>
    </row>
    <row r="36" spans="1:1" x14ac:dyDescent="0.25">
      <c r="A36" s="539"/>
    </row>
    <row r="37" spans="1:1" x14ac:dyDescent="0.25">
      <c r="A37" s="539"/>
    </row>
    <row r="38" spans="1:1" x14ac:dyDescent="0.25">
      <c r="A38" s="539"/>
    </row>
    <row r="39" spans="1:1" x14ac:dyDescent="0.25">
      <c r="A39" s="539"/>
    </row>
    <row r="40" spans="1:1" x14ac:dyDescent="0.25">
      <c r="A40" s="539"/>
    </row>
    <row r="41" spans="1:1" x14ac:dyDescent="0.25">
      <c r="A41" s="539"/>
    </row>
    <row r="42" spans="1:1" x14ac:dyDescent="0.25">
      <c r="A42" s="539"/>
    </row>
    <row r="43" spans="1:1" x14ac:dyDescent="0.25">
      <c r="A43" s="539"/>
    </row>
    <row r="44" spans="1:1" x14ac:dyDescent="0.25">
      <c r="A44" s="539"/>
    </row>
    <row r="45" spans="1:1" x14ac:dyDescent="0.25">
      <c r="A45" s="539"/>
    </row>
    <row r="46" spans="1:1" x14ac:dyDescent="0.25">
      <c r="A46" s="541"/>
    </row>
    <row r="47" spans="1:1" x14ac:dyDescent="0.25">
      <c r="A47" s="540"/>
    </row>
    <row r="48" spans="1:1" x14ac:dyDescent="0.25">
      <c r="A48" s="540"/>
    </row>
    <row r="49" spans="1:1" x14ac:dyDescent="0.25">
      <c r="A49" s="540"/>
    </row>
    <row r="50" spans="1:1" x14ac:dyDescent="0.25">
      <c r="A50" s="540"/>
    </row>
    <row r="51" spans="1:1" x14ac:dyDescent="0.25">
      <c r="A51" s="540"/>
    </row>
    <row r="52" spans="1:1" x14ac:dyDescent="0.25">
      <c r="A52" s="540"/>
    </row>
    <row r="53" spans="1:1" x14ac:dyDescent="0.25">
      <c r="A53" s="540"/>
    </row>
    <row r="54" spans="1:1" x14ac:dyDescent="0.25">
      <c r="A54" s="540"/>
    </row>
    <row r="55" spans="1:1" x14ac:dyDescent="0.25">
      <c r="A55" s="540"/>
    </row>
    <row r="56" spans="1:1" x14ac:dyDescent="0.25">
      <c r="A56" s="540"/>
    </row>
    <row r="57" spans="1:1" x14ac:dyDescent="0.25">
      <c r="A57" s="540"/>
    </row>
    <row r="58" spans="1:1" x14ac:dyDescent="0.25">
      <c r="A58" s="540"/>
    </row>
    <row r="59" spans="1:1" x14ac:dyDescent="0.25">
      <c r="A59" s="540"/>
    </row>
    <row r="60" spans="1:1" x14ac:dyDescent="0.25">
      <c r="A60" s="540"/>
    </row>
    <row r="61" spans="1:1" x14ac:dyDescent="0.25">
      <c r="A61" s="540"/>
    </row>
    <row r="62" spans="1:1" x14ac:dyDescent="0.25">
      <c r="A62" s="540"/>
    </row>
    <row r="63" spans="1:1" x14ac:dyDescent="0.25">
      <c r="A63" s="540"/>
    </row>
    <row r="64" spans="1:1" x14ac:dyDescent="0.25">
      <c r="A64" s="540"/>
    </row>
    <row r="65" spans="1:1" x14ac:dyDescent="0.25">
      <c r="A65" s="540"/>
    </row>
    <row r="66" spans="1:1" x14ac:dyDescent="0.25">
      <c r="A66" s="540"/>
    </row>
    <row r="67" spans="1:1" x14ac:dyDescent="0.25">
      <c r="A67" s="540"/>
    </row>
    <row r="68" spans="1:1" x14ac:dyDescent="0.25">
      <c r="A68" s="540"/>
    </row>
    <row r="69" spans="1:1" x14ac:dyDescent="0.25">
      <c r="A69" s="540"/>
    </row>
    <row r="70" spans="1:1" x14ac:dyDescent="0.25">
      <c r="A70" s="540"/>
    </row>
    <row r="71" spans="1:1" x14ac:dyDescent="0.25">
      <c r="A71" s="540"/>
    </row>
    <row r="72" spans="1:1" x14ac:dyDescent="0.25">
      <c r="A72" s="540"/>
    </row>
    <row r="73" spans="1:1" x14ac:dyDescent="0.25">
      <c r="A73" s="540"/>
    </row>
    <row r="74" spans="1:1" x14ac:dyDescent="0.25">
      <c r="A74" s="540"/>
    </row>
    <row r="75" spans="1:1" x14ac:dyDescent="0.25">
      <c r="A75" s="540"/>
    </row>
    <row r="76" spans="1:1" x14ac:dyDescent="0.25">
      <c r="A76" s="540"/>
    </row>
    <row r="77" spans="1:1" x14ac:dyDescent="0.25">
      <c r="A77" s="540"/>
    </row>
    <row r="78" spans="1:1" x14ac:dyDescent="0.25">
      <c r="A78" s="540"/>
    </row>
    <row r="79" spans="1:1" x14ac:dyDescent="0.25">
      <c r="A79" s="540"/>
    </row>
    <row r="80" spans="1:1" x14ac:dyDescent="0.25">
      <c r="A80" s="540"/>
    </row>
    <row r="81" spans="1:1" x14ac:dyDescent="0.25">
      <c r="A81" s="540"/>
    </row>
    <row r="82" spans="1:1" x14ac:dyDescent="0.25">
      <c r="A82" s="540"/>
    </row>
    <row r="83" spans="1:1" x14ac:dyDescent="0.25">
      <c r="A83" s="540"/>
    </row>
    <row r="84" spans="1:1" x14ac:dyDescent="0.25">
      <c r="A84" s="540"/>
    </row>
    <row r="85" spans="1:1" x14ac:dyDescent="0.25">
      <c r="A85" s="540"/>
    </row>
    <row r="86" spans="1:1" x14ac:dyDescent="0.25">
      <c r="A86" s="540"/>
    </row>
    <row r="87" spans="1:1" x14ac:dyDescent="0.25">
      <c r="A87" s="540"/>
    </row>
    <row r="88" spans="1:1" x14ac:dyDescent="0.25">
      <c r="A88" s="540"/>
    </row>
    <row r="89" spans="1:1" x14ac:dyDescent="0.25">
      <c r="A89" s="540"/>
    </row>
    <row r="90" spans="1:1" x14ac:dyDescent="0.25">
      <c r="A90" s="540"/>
    </row>
    <row r="91" spans="1:1" x14ac:dyDescent="0.25">
      <c r="A91" s="540"/>
    </row>
    <row r="92" spans="1:1" x14ac:dyDescent="0.25">
      <c r="A92" s="540"/>
    </row>
    <row r="93" spans="1:1" x14ac:dyDescent="0.25">
      <c r="A93" s="540"/>
    </row>
    <row r="94" spans="1:1" x14ac:dyDescent="0.25">
      <c r="A94" s="540"/>
    </row>
    <row r="95" spans="1:1" x14ac:dyDescent="0.25">
      <c r="A95" s="540"/>
    </row>
    <row r="96" spans="1:1" x14ac:dyDescent="0.25">
      <c r="A96" s="540"/>
    </row>
    <row r="97" spans="1:1" x14ac:dyDescent="0.25">
      <c r="A97" s="540"/>
    </row>
    <row r="98" spans="1:1" x14ac:dyDescent="0.25">
      <c r="A98" s="540"/>
    </row>
    <row r="99" spans="1:1" x14ac:dyDescent="0.25">
      <c r="A99" s="540"/>
    </row>
    <row r="100" spans="1:1" x14ac:dyDescent="0.25">
      <c r="A100" s="540"/>
    </row>
    <row r="101" spans="1:1" x14ac:dyDescent="0.25">
      <c r="A101" s="540"/>
    </row>
    <row r="102" spans="1:1" x14ac:dyDescent="0.25">
      <c r="A102" s="540"/>
    </row>
    <row r="103" spans="1:1" x14ac:dyDescent="0.25">
      <c r="A103" s="540"/>
    </row>
    <row r="104" spans="1:1" x14ac:dyDescent="0.25">
      <c r="A104" s="540"/>
    </row>
    <row r="105" spans="1:1" x14ac:dyDescent="0.25">
      <c r="A105" s="540"/>
    </row>
    <row r="106" spans="1:1" x14ac:dyDescent="0.25">
      <c r="A106" s="540"/>
    </row>
    <row r="107" spans="1:1" x14ac:dyDescent="0.25">
      <c r="A107" s="540"/>
    </row>
    <row r="108" spans="1:1" x14ac:dyDescent="0.25">
      <c r="A108" s="540"/>
    </row>
    <row r="109" spans="1:1" x14ac:dyDescent="0.25">
      <c r="A109" s="540"/>
    </row>
    <row r="110" spans="1:1" x14ac:dyDescent="0.25">
      <c r="A110" s="540"/>
    </row>
    <row r="111" spans="1:1" x14ac:dyDescent="0.25">
      <c r="A111" s="540"/>
    </row>
    <row r="112" spans="1:1" x14ac:dyDescent="0.25">
      <c r="A112" s="540"/>
    </row>
    <row r="113" spans="1:1" x14ac:dyDescent="0.25">
      <c r="A113" s="540"/>
    </row>
    <row r="114" spans="1:1" x14ac:dyDescent="0.25">
      <c r="A114" s="540"/>
    </row>
    <row r="115" spans="1:1" x14ac:dyDescent="0.25">
      <c r="A115" s="540"/>
    </row>
    <row r="116" spans="1:1" x14ac:dyDescent="0.25">
      <c r="A116" s="540"/>
    </row>
    <row r="117" spans="1:1" x14ac:dyDescent="0.25">
      <c r="A117" s="540"/>
    </row>
    <row r="118" spans="1:1" x14ac:dyDescent="0.25">
      <c r="A118" s="540"/>
    </row>
    <row r="119" spans="1:1" x14ac:dyDescent="0.25">
      <c r="A119" s="540"/>
    </row>
    <row r="120" spans="1:1" x14ac:dyDescent="0.25">
      <c r="A120" s="540"/>
    </row>
    <row r="121" spans="1:1" x14ac:dyDescent="0.25">
      <c r="A121" s="540"/>
    </row>
    <row r="122" spans="1:1" x14ac:dyDescent="0.25">
      <c r="A122" s="540"/>
    </row>
    <row r="123" spans="1:1" x14ac:dyDescent="0.25">
      <c r="A123" s="540"/>
    </row>
    <row r="124" spans="1:1" x14ac:dyDescent="0.25">
      <c r="A124" s="540"/>
    </row>
    <row r="125" spans="1:1" x14ac:dyDescent="0.25">
      <c r="A125" s="540"/>
    </row>
    <row r="126" spans="1:1" x14ac:dyDescent="0.25">
      <c r="A126" s="540"/>
    </row>
    <row r="127" spans="1:1" x14ac:dyDescent="0.25">
      <c r="A127" s="540"/>
    </row>
    <row r="128" spans="1:1" x14ac:dyDescent="0.25">
      <c r="A128" s="540"/>
    </row>
    <row r="129" spans="1:1" x14ac:dyDescent="0.25">
      <c r="A129" s="540"/>
    </row>
    <row r="130" spans="1:1" x14ac:dyDescent="0.25">
      <c r="A130" s="540"/>
    </row>
    <row r="131" spans="1:1" x14ac:dyDescent="0.25">
      <c r="A131" s="540"/>
    </row>
    <row r="132" spans="1:1" x14ac:dyDescent="0.25">
      <c r="A132" s="540"/>
    </row>
    <row r="133" spans="1:1" x14ac:dyDescent="0.25">
      <c r="A133" s="540"/>
    </row>
    <row r="134" spans="1:1" x14ac:dyDescent="0.25">
      <c r="A134" s="540"/>
    </row>
    <row r="135" spans="1:1" x14ac:dyDescent="0.25">
      <c r="A135" s="540"/>
    </row>
    <row r="136" spans="1:1" x14ac:dyDescent="0.25">
      <c r="A136" s="540"/>
    </row>
    <row r="137" spans="1:1" x14ac:dyDescent="0.25">
      <c r="A137" s="540"/>
    </row>
    <row r="138" spans="1:1" x14ac:dyDescent="0.25">
      <c r="A138" s="540"/>
    </row>
    <row r="139" spans="1:1" x14ac:dyDescent="0.25">
      <c r="A139" s="540"/>
    </row>
    <row r="140" spans="1:1" x14ac:dyDescent="0.25">
      <c r="A140" s="540"/>
    </row>
    <row r="141" spans="1:1" x14ac:dyDescent="0.25">
      <c r="A141" s="540"/>
    </row>
    <row r="142" spans="1:1" x14ac:dyDescent="0.25">
      <c r="A142" s="540"/>
    </row>
    <row r="143" spans="1:1" x14ac:dyDescent="0.25">
      <c r="A143" s="540"/>
    </row>
    <row r="144" spans="1:1" x14ac:dyDescent="0.25">
      <c r="A144" s="540"/>
    </row>
    <row r="145" spans="1:1" x14ac:dyDescent="0.25">
      <c r="A145" s="540"/>
    </row>
    <row r="146" spans="1:1" x14ac:dyDescent="0.25">
      <c r="A146" s="540"/>
    </row>
    <row r="147" spans="1:1" x14ac:dyDescent="0.25">
      <c r="A147" s="540"/>
    </row>
    <row r="148" spans="1:1" x14ac:dyDescent="0.25">
      <c r="A148" s="540"/>
    </row>
    <row r="149" spans="1:1" x14ac:dyDescent="0.25">
      <c r="A149" s="540"/>
    </row>
    <row r="150" spans="1:1" x14ac:dyDescent="0.25">
      <c r="A150" s="540"/>
    </row>
    <row r="151" spans="1:1" x14ac:dyDescent="0.25">
      <c r="A151" s="540"/>
    </row>
    <row r="152" spans="1:1" x14ac:dyDescent="0.25">
      <c r="A152" s="540"/>
    </row>
    <row r="153" spans="1:1" x14ac:dyDescent="0.25">
      <c r="A153" s="540"/>
    </row>
  </sheetData>
  <mergeCells count="6">
    <mergeCell ref="B14:C14"/>
    <mergeCell ref="A21:C21"/>
    <mergeCell ref="A1:D1"/>
    <mergeCell ref="B3:C3"/>
    <mergeCell ref="A10:C10"/>
    <mergeCell ref="A12:D12"/>
  </mergeCells>
  <printOptions horizontalCentered="1"/>
  <pageMargins left="0.9055118110236221" right="0.9055118110236221" top="0.94488188976377963" bottom="0.94488188976377963" header="0.31496062992125984" footer="0.31496062992125984"/>
  <pageSetup paperSize="9" orientation="portrait" r:id="rId1"/>
  <headerFooter>
    <oddHeader>&amp;C2023. évi költségvetés - tervezet
 Gyermeklánc Óvoda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17"/>
  <sheetViews>
    <sheetView zoomScaleNormal="100" workbookViewId="0">
      <selection activeCell="E27" sqref="E27"/>
    </sheetView>
  </sheetViews>
  <sheetFormatPr defaultRowHeight="15" x14ac:dyDescent="0.25"/>
  <cols>
    <col min="2" max="2" width="25" customWidth="1"/>
    <col min="3" max="9" width="15" customWidth="1"/>
    <col min="11" max="11" width="15.42578125" bestFit="1" customWidth="1"/>
  </cols>
  <sheetData>
    <row r="1" spans="1:15" ht="44.25" customHeight="1" x14ac:dyDescent="0.25">
      <c r="B1" s="631" t="s">
        <v>700</v>
      </c>
      <c r="C1" s="631"/>
      <c r="D1" s="631"/>
      <c r="E1" s="631"/>
      <c r="F1" s="631"/>
      <c r="G1" s="631"/>
      <c r="H1" s="631"/>
      <c r="I1" s="631"/>
    </row>
    <row r="2" spans="1:15" ht="11.25" customHeight="1" x14ac:dyDescent="0.25">
      <c r="B2" s="339"/>
      <c r="C2" s="339"/>
      <c r="D2" s="339"/>
      <c r="E2" s="339"/>
      <c r="F2" s="339"/>
      <c r="G2" s="339"/>
      <c r="H2" s="339"/>
      <c r="I2" s="339"/>
    </row>
    <row r="3" spans="1:15" ht="21" x14ac:dyDescent="0.25">
      <c r="B3" s="651" t="s">
        <v>701</v>
      </c>
      <c r="C3" s="651"/>
      <c r="D3" s="651"/>
      <c r="E3" s="651"/>
      <c r="F3" s="651"/>
      <c r="G3" s="651"/>
      <c r="H3" s="651"/>
      <c r="I3" s="651"/>
    </row>
    <row r="4" spans="1:15" ht="21" x14ac:dyDescent="0.25">
      <c r="B4" s="352"/>
      <c r="C4" s="352"/>
      <c r="D4" s="352"/>
      <c r="E4" s="352"/>
      <c r="F4" s="352"/>
      <c r="G4" s="352"/>
      <c r="H4" s="352"/>
      <c r="I4" s="352"/>
    </row>
    <row r="5" spans="1:15" s="161" customFormat="1" ht="43.5" customHeight="1" x14ac:dyDescent="0.25">
      <c r="A5" s="155" t="s">
        <v>294</v>
      </c>
      <c r="B5" s="157" t="s">
        <v>274</v>
      </c>
      <c r="C5" s="157" t="s">
        <v>301</v>
      </c>
      <c r="D5" s="157" t="s">
        <v>302</v>
      </c>
      <c r="E5" s="157" t="s">
        <v>307</v>
      </c>
      <c r="F5" s="157" t="s">
        <v>542</v>
      </c>
      <c r="G5" s="157" t="s">
        <v>308</v>
      </c>
      <c r="H5" s="157" t="s">
        <v>309</v>
      </c>
      <c r="I5" s="292" t="s">
        <v>288</v>
      </c>
      <c r="K5" s="23" t="s">
        <v>390</v>
      </c>
    </row>
    <row r="6" spans="1:15" x14ac:dyDescent="0.25">
      <c r="A6" s="164" t="s">
        <v>276</v>
      </c>
      <c r="B6" s="137" t="s">
        <v>463</v>
      </c>
      <c r="C6" s="295"/>
      <c r="D6" s="295"/>
      <c r="E6" s="95">
        <f>SUM('Gyermekétkeztetés kiadásai'!D28)</f>
        <v>47626364.399999999</v>
      </c>
      <c r="F6" s="295"/>
      <c r="G6" s="95">
        <f>SUM('Gyermekétkeztetés kiadásai'!D29)</f>
        <v>0</v>
      </c>
      <c r="H6" s="95">
        <f>SUM('Gyermekétkeztetés kiadásai'!D33)</f>
        <v>0</v>
      </c>
      <c r="I6" s="293">
        <f>SUM(C6:H6)</f>
        <v>47626364.399999999</v>
      </c>
    </row>
    <row r="7" spans="1:15" x14ac:dyDescent="0.25">
      <c r="A7" s="164" t="s">
        <v>295</v>
      </c>
      <c r="B7" s="137" t="s">
        <v>464</v>
      </c>
      <c r="C7" s="95">
        <f>SUM('091110 Óvodai nevelés'!D96)</f>
        <v>136790426</v>
      </c>
      <c r="D7" s="95">
        <f>SUM('091110 Óvodai nevelés'!D119)</f>
        <v>22987195</v>
      </c>
      <c r="E7" s="295"/>
      <c r="F7" s="295"/>
      <c r="G7" s="295"/>
      <c r="H7" s="295"/>
      <c r="I7" s="293">
        <f t="shared" ref="I7:I16" si="0">SUM(C7:H7)</f>
        <v>159777621</v>
      </c>
      <c r="J7" s="23"/>
      <c r="K7" s="18">
        <f>SUM(I6,I10)</f>
        <v>57740449.799999997</v>
      </c>
      <c r="L7" t="s">
        <v>558</v>
      </c>
    </row>
    <row r="8" spans="1:15" x14ac:dyDescent="0.25">
      <c r="A8" s="164" t="s">
        <v>777</v>
      </c>
      <c r="B8" s="137" t="s">
        <v>758</v>
      </c>
      <c r="C8" s="95">
        <f>SUM('091120 Sajátos nevelési i'!D11)</f>
        <v>2702000</v>
      </c>
      <c r="D8" s="95">
        <f>SUM('091120 Sajátos nevelési i'!D17)</f>
        <v>351260</v>
      </c>
      <c r="E8" s="95">
        <f>SUM('091120 Sajátos nevelési i'!D20)</f>
        <v>0</v>
      </c>
      <c r="F8" s="95">
        <f>SUM('091120 Sajátos nevelési i'!D22)</f>
        <v>0</v>
      </c>
      <c r="G8" s="95">
        <f>SUM('091120 Sajátos nevelési i'!D24)</f>
        <v>0</v>
      </c>
      <c r="H8" s="95">
        <f>SUM('091120 Sajátos nevelési i'!D26)</f>
        <v>0</v>
      </c>
      <c r="I8" s="293">
        <f t="shared" si="0"/>
        <v>3053260</v>
      </c>
      <c r="J8" s="23"/>
      <c r="K8" s="425"/>
      <c r="L8" s="425"/>
      <c r="M8" s="425"/>
      <c r="N8" s="425"/>
      <c r="O8" s="425"/>
    </row>
    <row r="9" spans="1:15" x14ac:dyDescent="0.25">
      <c r="A9" s="164" t="s">
        <v>303</v>
      </c>
      <c r="B9" s="137" t="s">
        <v>497</v>
      </c>
      <c r="C9" s="295"/>
      <c r="D9" s="295"/>
      <c r="E9" s="95">
        <f>SUM('091140 Óvoda fenntartás'!D73)</f>
        <v>19263491.630000003</v>
      </c>
      <c r="F9" s="295"/>
      <c r="G9" s="95">
        <f>SUM('091140 Óvoda fenntartás'!D80)</f>
        <v>1041400</v>
      </c>
      <c r="H9" s="95">
        <f>SUM('091140 Óvoda fenntartás'!D85)</f>
        <v>1079500</v>
      </c>
      <c r="I9" s="293">
        <f t="shared" si="0"/>
        <v>21384391.630000003</v>
      </c>
    </row>
    <row r="10" spans="1:15" x14ac:dyDescent="0.25">
      <c r="A10" s="164" t="s">
        <v>300</v>
      </c>
      <c r="B10" s="137" t="s">
        <v>462</v>
      </c>
      <c r="C10" s="295"/>
      <c r="D10" s="295"/>
      <c r="E10" s="95">
        <f>SUM('Gyermekétkeztetés kiadásai'!D58)</f>
        <v>10114085.4</v>
      </c>
      <c r="F10" s="295"/>
      <c r="G10" s="95">
        <f>SUM('Gyermekétkeztetés kiadásai'!D59)</f>
        <v>0</v>
      </c>
      <c r="H10" s="95">
        <f>SUM('Gyermekétkeztetés kiadásai'!D63)</f>
        <v>0</v>
      </c>
      <c r="I10" s="293">
        <f t="shared" si="0"/>
        <v>10114085.4</v>
      </c>
    </row>
    <row r="11" spans="1:15" x14ac:dyDescent="0.25">
      <c r="A11" s="164" t="s">
        <v>299</v>
      </c>
      <c r="B11" s="137" t="s">
        <v>298</v>
      </c>
      <c r="C11" s="95">
        <f>SUM('104031 Bölcsődei ellátás'!D61)</f>
        <v>32019343</v>
      </c>
      <c r="D11" s="95">
        <f>SUM('104031 Bölcsődei ellátás'!D67)</f>
        <v>4212516</v>
      </c>
      <c r="E11" s="95">
        <f>SUM('104031 Bölcsődei ellátás'!D126)</f>
        <v>5829697</v>
      </c>
      <c r="F11" s="295"/>
      <c r="G11" s="95">
        <f>SUM('104031 Bölcsődei ellátás'!D133)</f>
        <v>203200</v>
      </c>
      <c r="H11" s="95">
        <f>SUM('104031 Bölcsődei ellátás'!D136)</f>
        <v>0</v>
      </c>
      <c r="I11" s="293">
        <f t="shared" si="0"/>
        <v>42264756</v>
      </c>
      <c r="K11" s="18">
        <f>SUM(I12:I13)</f>
        <v>75149400.460000008</v>
      </c>
      <c r="L11" t="s">
        <v>559</v>
      </c>
    </row>
    <row r="12" spans="1:15" x14ac:dyDescent="0.25">
      <c r="A12" s="164" t="s">
        <v>277</v>
      </c>
      <c r="B12" s="137" t="s">
        <v>278</v>
      </c>
      <c r="C12" s="95">
        <f>SUM('104043 Gyj. Központ '!D54)</f>
        <v>37866441</v>
      </c>
      <c r="D12" s="95">
        <f>SUM('104043 Gyj. Központ '!D66)</f>
        <v>4910295</v>
      </c>
      <c r="E12" s="95">
        <f>SUM('104043 Gyj. Központ '!D142)</f>
        <v>11848613</v>
      </c>
      <c r="F12" s="295"/>
      <c r="G12" s="95">
        <f>SUM('104043 Gyj. Központ '!D154)</f>
        <v>584200</v>
      </c>
      <c r="H12" s="95">
        <f>SUM('104043 Gyj. Központ '!D157)</f>
        <v>0</v>
      </c>
      <c r="I12" s="293">
        <f t="shared" si="0"/>
        <v>55209549</v>
      </c>
    </row>
    <row r="13" spans="1:15" x14ac:dyDescent="0.25">
      <c r="A13" s="164" t="s">
        <v>297</v>
      </c>
      <c r="B13" s="137" t="s">
        <v>279</v>
      </c>
      <c r="C13" s="95">
        <f>SUM('104042 Gyj. Szolgálat'!D42)</f>
        <v>14225539</v>
      </c>
      <c r="D13" s="95">
        <f>SUM('104042 Gyj. Szolgálat'!D51)</f>
        <v>1894121</v>
      </c>
      <c r="E13" s="95">
        <f>SUM('104042 Gyj. Szolgálat'!D115)</f>
        <v>3283491</v>
      </c>
      <c r="F13" s="295"/>
      <c r="G13" s="95">
        <f>SUM('104042 Gyj. Szolgálat'!D126)</f>
        <v>536700.46</v>
      </c>
      <c r="H13" s="95">
        <f>SUM('104042 Gyj. Szolgálat'!D128)</f>
        <v>0</v>
      </c>
      <c r="I13" s="293">
        <f t="shared" si="0"/>
        <v>19939851.460000001</v>
      </c>
    </row>
    <row r="14" spans="1:15" x14ac:dyDescent="0.25">
      <c r="A14" s="164" t="s">
        <v>778</v>
      </c>
      <c r="B14" s="137" t="s">
        <v>280</v>
      </c>
      <c r="C14" s="95">
        <f>SUM('104044 Nyitnikék Gyerekház '!D29)</f>
        <v>9669682</v>
      </c>
      <c r="D14" s="95">
        <f>SUM('104044 Nyitnikék Gyerekház '!D36)</f>
        <v>1307059</v>
      </c>
      <c r="E14" s="95">
        <f>SUM('104044 Nyitnikék Gyerekház '!D94)</f>
        <v>755966</v>
      </c>
      <c r="F14" s="295"/>
      <c r="G14" s="95">
        <f>SUM('104044 Nyitnikék Gyerekház '!D101)</f>
        <v>0</v>
      </c>
      <c r="H14" s="95">
        <f>SUM('104044 Nyitnikék Gyerekház '!D104)</f>
        <v>0</v>
      </c>
      <c r="I14" s="293">
        <f t="shared" si="0"/>
        <v>11732707</v>
      </c>
      <c r="K14" s="653"/>
      <c r="L14" s="653"/>
      <c r="M14" s="653"/>
      <c r="N14" s="653"/>
    </row>
    <row r="15" spans="1:15" x14ac:dyDescent="0.25">
      <c r="A15" s="164" t="s">
        <v>528</v>
      </c>
      <c r="B15" s="137" t="s">
        <v>529</v>
      </c>
      <c r="C15" s="95">
        <f>SUM('EFOP-3.9.2 projekt'!D11)</f>
        <v>0</v>
      </c>
      <c r="D15" s="95">
        <f>SUM('EFOP-3.9.2 projekt'!D15)</f>
        <v>0</v>
      </c>
      <c r="E15" s="95">
        <f>SUM('EFOP-3.9.2 projekt'!D18)</f>
        <v>0</v>
      </c>
      <c r="F15" s="95">
        <f>SUM('EFOP-3.9.2 projekt'!D22)</f>
        <v>3720988</v>
      </c>
      <c r="G15" s="95">
        <f>SUM('EFOP-3.9.2 projekt'!D24)</f>
        <v>0</v>
      </c>
      <c r="H15" s="95">
        <v>0</v>
      </c>
      <c r="I15" s="293">
        <f t="shared" si="0"/>
        <v>3720988</v>
      </c>
    </row>
    <row r="16" spans="1:15" x14ac:dyDescent="0.25">
      <c r="A16" s="164" t="s">
        <v>521</v>
      </c>
      <c r="B16" s="137" t="s">
        <v>494</v>
      </c>
      <c r="C16" s="95">
        <f>SUM('TOP-5.2.1-15 projekt'!D17)</f>
        <v>5318868</v>
      </c>
      <c r="D16" s="95">
        <f>SUM('TOP-5.2.1-15 projekt'!D21)</f>
        <v>691452.84</v>
      </c>
      <c r="E16" s="95">
        <f>SUM('TOP-5.2.1-15 projekt'!D25)</f>
        <v>0</v>
      </c>
      <c r="F16" s="295"/>
      <c r="G16" s="95">
        <f>SUM('TOP-5.2.1-15 projekt'!D27)</f>
        <v>0</v>
      </c>
      <c r="H16" s="95">
        <v>0</v>
      </c>
      <c r="I16" s="293">
        <f t="shared" si="0"/>
        <v>6010320.8399999999</v>
      </c>
    </row>
    <row r="17" spans="1:11" s="163" customFormat="1" x14ac:dyDescent="0.25">
      <c r="A17" s="652" t="s">
        <v>281</v>
      </c>
      <c r="B17" s="652"/>
      <c r="C17" s="162">
        <f t="shared" ref="C17:H17" si="1">SUM(C6:C16)</f>
        <v>238592299</v>
      </c>
      <c r="D17" s="162">
        <f t="shared" si="1"/>
        <v>36353898.840000004</v>
      </c>
      <c r="E17" s="162">
        <f t="shared" si="1"/>
        <v>98721708.430000007</v>
      </c>
      <c r="F17" s="162">
        <f t="shared" si="1"/>
        <v>3720988</v>
      </c>
      <c r="G17" s="162">
        <f>SUM(G6:G16)</f>
        <v>2365500.46</v>
      </c>
      <c r="H17" s="162">
        <f t="shared" si="1"/>
        <v>1079500</v>
      </c>
      <c r="I17" s="162">
        <f>SUM(I6:I16)-1</f>
        <v>380833893.72999996</v>
      </c>
      <c r="K17" s="166">
        <f>SUM(C17:H17)-1</f>
        <v>380833893.73000002</v>
      </c>
    </row>
  </sheetData>
  <mergeCells count="4">
    <mergeCell ref="B1:I1"/>
    <mergeCell ref="B3:I3"/>
    <mergeCell ref="A17:B17"/>
    <mergeCell ref="K14:N14"/>
  </mergeCells>
  <phoneticPr fontId="37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  <headerFooter>
    <oddHeader>&amp;C2023. évi költségvetés - tervezet 
Gyermeklánc Óvoda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62"/>
  <sheetViews>
    <sheetView showRuler="0" view="pageBreakPreview" topLeftCell="A38" zoomScaleNormal="100" zoomScaleSheetLayoutView="100" workbookViewId="0">
      <selection activeCell="D27" sqref="D27"/>
    </sheetView>
  </sheetViews>
  <sheetFormatPr defaultColWidth="8.85546875" defaultRowHeight="15" x14ac:dyDescent="0.25"/>
  <cols>
    <col min="1" max="1" width="8.85546875" style="424"/>
    <col min="2" max="2" width="50" style="424" customWidth="1"/>
    <col min="3" max="3" width="18.7109375" style="424" bestFit="1" customWidth="1"/>
    <col min="4" max="4" width="16.85546875" style="424" bestFit="1" customWidth="1"/>
    <col min="5" max="16384" width="8.85546875" style="424"/>
  </cols>
  <sheetData>
    <row r="1" spans="1:12" ht="19.5" thickBot="1" x14ac:dyDescent="0.3">
      <c r="A1" s="650" t="s">
        <v>520</v>
      </c>
      <c r="B1" s="650"/>
      <c r="C1" s="650"/>
      <c r="D1" s="650"/>
      <c r="E1" s="7"/>
    </row>
    <row r="2" spans="1:12" s="540" customFormat="1" ht="15.75" thickBot="1" x14ac:dyDescent="0.3">
      <c r="A2" s="542" t="s">
        <v>2</v>
      </c>
      <c r="B2" s="657" t="s">
        <v>3</v>
      </c>
      <c r="C2" s="658"/>
      <c r="D2" s="543" t="s">
        <v>287</v>
      </c>
      <c r="E2" s="531"/>
    </row>
    <row r="3" spans="1:12" s="533" customFormat="1" ht="28.5" customHeight="1" x14ac:dyDescent="0.25">
      <c r="A3" s="237" t="s">
        <v>129</v>
      </c>
      <c r="B3" s="581" t="s">
        <v>831</v>
      </c>
      <c r="C3" s="582">
        <v>20000</v>
      </c>
      <c r="D3" s="240">
        <v>20000</v>
      </c>
      <c r="E3" s="35"/>
      <c r="F3" s="399"/>
      <c r="G3" s="399"/>
      <c r="H3" s="399"/>
      <c r="I3" s="399"/>
      <c r="J3" s="119"/>
    </row>
    <row r="4" spans="1:12" s="533" customFormat="1" ht="13.5" customHeight="1" x14ac:dyDescent="0.25">
      <c r="A4" s="220"/>
      <c r="B4" s="583"/>
      <c r="C4" s="582"/>
      <c r="D4" s="223"/>
      <c r="E4" s="35"/>
      <c r="F4" s="119"/>
      <c r="G4" s="119"/>
      <c r="H4" s="119"/>
      <c r="I4" s="119"/>
      <c r="J4" s="119"/>
    </row>
    <row r="5" spans="1:12" s="533" customFormat="1" ht="31.5" customHeight="1" x14ac:dyDescent="0.25">
      <c r="A5" s="220" t="s">
        <v>319</v>
      </c>
      <c r="B5" s="584" t="s">
        <v>832</v>
      </c>
      <c r="C5" s="196"/>
      <c r="D5" s="223">
        <f>SUM(C6)</f>
        <v>28800</v>
      </c>
      <c r="E5" s="35"/>
      <c r="F5" s="654"/>
      <c r="G5" s="654"/>
      <c r="H5" s="654"/>
      <c r="I5" s="654"/>
      <c r="J5" s="654"/>
      <c r="K5" s="654"/>
      <c r="L5" s="654"/>
    </row>
    <row r="6" spans="1:12" s="533" customFormat="1" ht="21" customHeight="1" x14ac:dyDescent="0.25">
      <c r="A6" s="220"/>
      <c r="B6" s="583" t="s">
        <v>833</v>
      </c>
      <c r="C6" s="582">
        <f>2400*12</f>
        <v>28800</v>
      </c>
      <c r="D6" s="223"/>
      <c r="E6" s="35"/>
      <c r="F6" s="654"/>
      <c r="G6" s="654"/>
      <c r="H6" s="654"/>
      <c r="I6" s="654"/>
      <c r="J6" s="654"/>
      <c r="K6" s="654"/>
      <c r="L6" s="654"/>
    </row>
    <row r="7" spans="1:12" s="546" customFormat="1" ht="13.5" customHeight="1" x14ac:dyDescent="0.25">
      <c r="A7" s="548"/>
      <c r="B7" s="549"/>
      <c r="C7" s="550"/>
      <c r="D7" s="551"/>
      <c r="E7" s="35"/>
      <c r="G7" s="547"/>
      <c r="H7" s="547"/>
      <c r="I7" s="547"/>
      <c r="J7" s="547"/>
      <c r="K7" s="547"/>
      <c r="L7" s="547"/>
    </row>
    <row r="8" spans="1:12" s="553" customFormat="1" x14ac:dyDescent="0.25">
      <c r="A8" s="220" t="s">
        <v>74</v>
      </c>
      <c r="B8" s="552" t="s">
        <v>331</v>
      </c>
      <c r="C8" s="545">
        <f>SUM(C10:C15)</f>
        <v>36578396.399999999</v>
      </c>
      <c r="D8" s="223">
        <f>SUM(C8)+1</f>
        <v>36578397.399999999</v>
      </c>
      <c r="E8" s="422"/>
      <c r="G8" s="554"/>
      <c r="H8" s="554"/>
      <c r="I8" s="554"/>
      <c r="J8" s="554"/>
      <c r="K8" s="554"/>
      <c r="L8" s="554"/>
    </row>
    <row r="9" spans="1:12" s="553" customFormat="1" x14ac:dyDescent="0.25">
      <c r="A9" s="220"/>
      <c r="B9" s="552" t="s">
        <v>815</v>
      </c>
      <c r="C9" s="555"/>
      <c r="D9" s="279"/>
      <c r="E9" s="422"/>
      <c r="G9" s="556"/>
      <c r="H9" s="556"/>
      <c r="I9" s="556"/>
      <c r="J9" s="556"/>
      <c r="K9" s="556"/>
      <c r="L9" s="556"/>
    </row>
    <row r="10" spans="1:12" s="559" customFormat="1" ht="12.75" x14ac:dyDescent="0.2">
      <c r="A10" s="281"/>
      <c r="B10" s="557" t="s">
        <v>816</v>
      </c>
      <c r="C10" s="558">
        <f>114*64*630*1.82</f>
        <v>8365593.6000000006</v>
      </c>
      <c r="D10" s="280"/>
      <c r="G10" s="560"/>
      <c r="H10" s="560"/>
      <c r="I10" s="560"/>
      <c r="J10" s="560"/>
      <c r="K10" s="560"/>
      <c r="L10" s="560"/>
    </row>
    <row r="11" spans="1:12" s="559" customFormat="1" ht="12.75" x14ac:dyDescent="0.2">
      <c r="A11" s="281"/>
      <c r="B11" s="557" t="s">
        <v>817</v>
      </c>
      <c r="C11" s="558">
        <f>17*64*630*1.82</f>
        <v>1247500.8</v>
      </c>
      <c r="D11" s="280"/>
      <c r="G11" s="560"/>
      <c r="H11" s="560"/>
      <c r="I11" s="560"/>
      <c r="J11" s="560"/>
      <c r="K11" s="560"/>
      <c r="L11" s="560"/>
    </row>
    <row r="12" spans="1:12" s="553" customFormat="1" x14ac:dyDescent="0.25">
      <c r="A12" s="220"/>
      <c r="B12" s="552" t="s">
        <v>818</v>
      </c>
      <c r="C12" s="555"/>
      <c r="D12" s="279"/>
      <c r="E12" s="422"/>
      <c r="G12" s="556"/>
      <c r="H12" s="556"/>
      <c r="I12" s="556"/>
      <c r="J12" s="556"/>
      <c r="K12" s="556"/>
      <c r="L12" s="556"/>
    </row>
    <row r="13" spans="1:12" s="559" customFormat="1" ht="12.75" x14ac:dyDescent="0.2">
      <c r="A13" s="281"/>
      <c r="B13" s="557" t="s">
        <v>819</v>
      </c>
      <c r="C13" s="558">
        <f>114*156*725*1.82</f>
        <v>23465988</v>
      </c>
      <c r="D13" s="280"/>
      <c r="G13" s="560"/>
      <c r="H13" s="560"/>
      <c r="I13" s="560"/>
      <c r="J13" s="560"/>
      <c r="K13" s="560"/>
      <c r="L13" s="560"/>
    </row>
    <row r="14" spans="1:12" s="559" customFormat="1" ht="12.75" x14ac:dyDescent="0.2">
      <c r="A14" s="281"/>
      <c r="B14" s="557" t="s">
        <v>820</v>
      </c>
      <c r="C14" s="558">
        <f>17*156*725*1.82</f>
        <v>3499314</v>
      </c>
      <c r="D14" s="280"/>
      <c r="G14" s="560"/>
      <c r="H14" s="560"/>
      <c r="I14" s="560"/>
      <c r="J14" s="560"/>
      <c r="K14" s="560"/>
      <c r="L14" s="560"/>
    </row>
    <row r="15" spans="1:12" s="191" customFormat="1" x14ac:dyDescent="0.2">
      <c r="A15" s="561"/>
      <c r="B15" s="562"/>
      <c r="C15" s="563"/>
      <c r="D15" s="564"/>
      <c r="G15" s="565"/>
      <c r="H15" s="565"/>
      <c r="I15" s="565"/>
      <c r="J15" s="565"/>
      <c r="K15" s="565"/>
      <c r="L15" s="565"/>
    </row>
    <row r="16" spans="1:12" s="191" customFormat="1" ht="12.75" x14ac:dyDescent="0.2">
      <c r="A16" s="561"/>
      <c r="B16" s="566"/>
      <c r="C16" s="563"/>
      <c r="D16" s="564"/>
      <c r="G16" s="565"/>
      <c r="H16" s="565"/>
      <c r="I16" s="565"/>
      <c r="J16" s="565"/>
      <c r="K16" s="565"/>
      <c r="L16" s="565"/>
    </row>
    <row r="17" spans="1:12" s="559" customFormat="1" x14ac:dyDescent="0.2">
      <c r="A17" s="220" t="s">
        <v>86</v>
      </c>
      <c r="B17" s="552" t="s">
        <v>340</v>
      </c>
      <c r="C17" s="545">
        <f>SUM(C19:C21)</f>
        <v>880000</v>
      </c>
      <c r="D17" s="567">
        <v>880000</v>
      </c>
      <c r="G17" s="560"/>
      <c r="H17" s="560"/>
      <c r="I17" s="560"/>
      <c r="J17" s="560"/>
      <c r="K17" s="560"/>
      <c r="L17" s="560"/>
    </row>
    <row r="18" spans="1:12" s="559" customFormat="1" x14ac:dyDescent="0.2">
      <c r="A18" s="220"/>
      <c r="B18" s="568"/>
      <c r="C18" s="545"/>
      <c r="D18" s="567"/>
      <c r="G18" s="560"/>
      <c r="H18" s="560"/>
      <c r="I18" s="560"/>
      <c r="J18" s="560"/>
      <c r="K18" s="560"/>
      <c r="L18" s="560"/>
    </row>
    <row r="19" spans="1:12" s="559" customFormat="1" ht="12.75" x14ac:dyDescent="0.2">
      <c r="A19" s="281"/>
      <c r="B19" s="557" t="s">
        <v>821</v>
      </c>
      <c r="C19" s="558">
        <v>880000</v>
      </c>
      <c r="D19" s="280"/>
      <c r="G19" s="560"/>
      <c r="H19" s="560"/>
      <c r="I19" s="560"/>
      <c r="J19" s="560"/>
      <c r="K19" s="560"/>
      <c r="L19" s="560"/>
    </row>
    <row r="20" spans="1:12" s="191" customFormat="1" ht="12.75" x14ac:dyDescent="0.2">
      <c r="A20" s="561"/>
      <c r="B20" s="566" t="s">
        <v>822</v>
      </c>
      <c r="C20" s="569">
        <v>0</v>
      </c>
      <c r="D20" s="564"/>
      <c r="G20" s="565"/>
      <c r="H20" s="565"/>
      <c r="I20" s="565"/>
      <c r="J20" s="565"/>
      <c r="K20" s="565"/>
      <c r="L20" s="565"/>
    </row>
    <row r="21" spans="1:12" s="191" customFormat="1" ht="12.75" x14ac:dyDescent="0.2">
      <c r="A21" s="561"/>
      <c r="B21" s="566" t="s">
        <v>823</v>
      </c>
      <c r="C21" s="569">
        <v>0</v>
      </c>
      <c r="D21" s="564"/>
      <c r="G21" s="565"/>
      <c r="H21" s="565"/>
      <c r="I21" s="565"/>
      <c r="J21" s="565"/>
      <c r="K21" s="565"/>
      <c r="L21" s="565"/>
    </row>
    <row r="22" spans="1:12" s="191" customFormat="1" ht="12.75" x14ac:dyDescent="0.2">
      <c r="A22" s="561"/>
      <c r="B22" s="566"/>
      <c r="C22" s="563"/>
      <c r="D22" s="564"/>
      <c r="G22" s="565"/>
      <c r="H22" s="565"/>
      <c r="I22" s="565"/>
      <c r="J22" s="565"/>
      <c r="K22" s="565"/>
      <c r="L22" s="565"/>
    </row>
    <row r="23" spans="1:12" s="572" customFormat="1" x14ac:dyDescent="0.25">
      <c r="A23" s="570" t="s">
        <v>76</v>
      </c>
      <c r="B23" s="552" t="s">
        <v>330</v>
      </c>
      <c r="C23" s="545">
        <f>SUM(C24:C26)</f>
        <v>10119167.028000001</v>
      </c>
      <c r="D23" s="567">
        <v>10119167</v>
      </c>
      <c r="E23" s="571"/>
    </row>
    <row r="24" spans="1:12" s="559" customFormat="1" ht="12.75" x14ac:dyDescent="0.2">
      <c r="A24" s="282"/>
      <c r="B24" s="557" t="s">
        <v>327</v>
      </c>
      <c r="C24" s="558">
        <f>SUM(C3)*0.27</f>
        <v>5400</v>
      </c>
      <c r="D24" s="280"/>
      <c r="G24" s="560"/>
      <c r="H24" s="560"/>
      <c r="I24" s="560"/>
      <c r="J24" s="560"/>
      <c r="K24" s="560"/>
      <c r="L24" s="560"/>
    </row>
    <row r="25" spans="1:12" s="559" customFormat="1" ht="12.75" x14ac:dyDescent="0.2">
      <c r="A25" s="282"/>
      <c r="B25" s="557" t="s">
        <v>328</v>
      </c>
      <c r="C25" s="558">
        <f>SUM(C8)*0.27</f>
        <v>9876167.0280000009</v>
      </c>
      <c r="D25" s="280"/>
      <c r="G25" s="560"/>
      <c r="H25" s="560"/>
      <c r="I25" s="560"/>
      <c r="J25" s="560"/>
      <c r="K25" s="560"/>
      <c r="L25" s="560"/>
    </row>
    <row r="26" spans="1:12" s="559" customFormat="1" ht="12.75" x14ac:dyDescent="0.2">
      <c r="A26" s="282"/>
      <c r="B26" s="557" t="s">
        <v>511</v>
      </c>
      <c r="C26" s="558">
        <f>SUM(C17)*0.27</f>
        <v>237600.00000000003</v>
      </c>
      <c r="D26" s="280"/>
      <c r="G26" s="560"/>
      <c r="H26" s="560"/>
      <c r="I26" s="560"/>
      <c r="J26" s="560"/>
      <c r="K26" s="560"/>
      <c r="L26" s="560"/>
    </row>
    <row r="27" spans="1:12" s="192" customFormat="1" ht="12.75" x14ac:dyDescent="0.2">
      <c r="A27" s="281"/>
      <c r="B27" s="573"/>
      <c r="C27" s="574"/>
      <c r="D27" s="280"/>
      <c r="E27" s="191"/>
      <c r="G27" s="575"/>
      <c r="H27" s="575"/>
      <c r="I27" s="575"/>
      <c r="J27" s="575"/>
      <c r="K27" s="575"/>
      <c r="L27" s="575"/>
    </row>
    <row r="28" spans="1:12" x14ac:dyDescent="0.25">
      <c r="A28" s="659" t="s">
        <v>329</v>
      </c>
      <c r="B28" s="660"/>
      <c r="C28" s="327">
        <f>SUM(C3,C6,C8,C17,C23)</f>
        <v>47626363.428000003</v>
      </c>
      <c r="D28" s="299">
        <f>SUM(D3:D26)</f>
        <v>47626364.399999999</v>
      </c>
      <c r="E28" s="22"/>
    </row>
    <row r="29" spans="1:12" x14ac:dyDescent="0.25">
      <c r="A29" s="661" t="s">
        <v>465</v>
      </c>
      <c r="B29" s="662"/>
      <c r="C29" s="300">
        <v>0</v>
      </c>
      <c r="D29" s="301">
        <v>0</v>
      </c>
      <c r="E29" s="22"/>
    </row>
    <row r="30" spans="1:12" x14ac:dyDescent="0.25">
      <c r="A30" s="661" t="s">
        <v>466</v>
      </c>
      <c r="B30" s="662"/>
      <c r="C30" s="300">
        <v>0</v>
      </c>
      <c r="D30" s="301">
        <v>0</v>
      </c>
      <c r="E30" s="22"/>
    </row>
    <row r="31" spans="1:12" ht="15.75" thickBot="1" x14ac:dyDescent="0.3">
      <c r="A31" s="296"/>
      <c r="B31" s="297"/>
      <c r="C31" s="297"/>
      <c r="D31" s="298"/>
      <c r="E31" s="22"/>
    </row>
    <row r="32" spans="1:12" s="291" customFormat="1" ht="18" customHeight="1" thickBot="1" x14ac:dyDescent="0.35">
      <c r="A32" s="655" t="s">
        <v>285</v>
      </c>
      <c r="B32" s="656"/>
      <c r="C32" s="326">
        <f>SUM(C28:C30)</f>
        <v>47626363.428000003</v>
      </c>
      <c r="D32" s="235">
        <f>SUM(D28:D31)</f>
        <v>47626364.399999999</v>
      </c>
      <c r="E32" s="193"/>
    </row>
    <row r="33" spans="1:12" s="540" customFormat="1" ht="15.75" x14ac:dyDescent="0.25">
      <c r="A33" s="576"/>
      <c r="B33" s="576"/>
      <c r="C33" s="576"/>
      <c r="D33" s="577"/>
      <c r="E33" s="578"/>
    </row>
    <row r="34" spans="1:12" ht="15.75" x14ac:dyDescent="0.25">
      <c r="A34" s="579"/>
      <c r="B34" s="579"/>
      <c r="C34" s="579"/>
      <c r="D34" s="580"/>
      <c r="E34" s="3"/>
    </row>
    <row r="35" spans="1:12" ht="19.5" thickBot="1" x14ac:dyDescent="0.3">
      <c r="A35" s="650" t="s">
        <v>519</v>
      </c>
      <c r="B35" s="650"/>
      <c r="C35" s="650"/>
      <c r="D35" s="650"/>
    </row>
    <row r="36" spans="1:12" s="540" customFormat="1" ht="15.75" thickBot="1" x14ac:dyDescent="0.3">
      <c r="A36" s="542" t="s">
        <v>2</v>
      </c>
      <c r="B36" s="657" t="s">
        <v>3</v>
      </c>
      <c r="C36" s="658"/>
      <c r="D36" s="543" t="s">
        <v>287</v>
      </c>
      <c r="E36" s="531"/>
    </row>
    <row r="37" spans="1:12" s="553" customFormat="1" ht="31.5" customHeight="1" x14ac:dyDescent="0.25">
      <c r="A37" s="237" t="s">
        <v>129</v>
      </c>
      <c r="B37" s="544" t="s">
        <v>814</v>
      </c>
      <c r="C37" s="545">
        <v>50000</v>
      </c>
      <c r="D37" s="240">
        <f>SUM(C37)</f>
        <v>50000</v>
      </c>
      <c r="E37" s="422"/>
      <c r="G37" s="556"/>
      <c r="H37" s="556"/>
      <c r="I37" s="556"/>
      <c r="J37" s="556"/>
      <c r="K37" s="556"/>
      <c r="L37" s="556"/>
    </row>
    <row r="38" spans="1:12" s="191" customFormat="1" ht="12.75" x14ac:dyDescent="0.2">
      <c r="A38" s="561"/>
      <c r="B38" s="566"/>
      <c r="C38" s="563"/>
      <c r="D38" s="564"/>
      <c r="G38" s="565"/>
      <c r="H38" s="565"/>
      <c r="I38" s="565"/>
      <c r="J38" s="565"/>
      <c r="K38" s="565"/>
      <c r="L38" s="565"/>
    </row>
    <row r="39" spans="1:12" s="553" customFormat="1" x14ac:dyDescent="0.25">
      <c r="A39" s="220" t="s">
        <v>74</v>
      </c>
      <c r="B39" s="552" t="s">
        <v>331</v>
      </c>
      <c r="C39" s="545">
        <f>SUM(C41:C45)</f>
        <v>7453846.4000000004</v>
      </c>
      <c r="D39" s="223">
        <f>SUM(C39)</f>
        <v>7453846.4000000004</v>
      </c>
      <c r="E39" s="422"/>
      <c r="G39" s="554"/>
      <c r="H39" s="554"/>
      <c r="I39" s="554"/>
      <c r="J39" s="554"/>
      <c r="K39" s="554"/>
      <c r="L39" s="554"/>
    </row>
    <row r="40" spans="1:12" s="553" customFormat="1" x14ac:dyDescent="0.25">
      <c r="A40" s="220"/>
      <c r="B40" s="552" t="s">
        <v>815</v>
      </c>
      <c r="C40" s="555"/>
      <c r="D40" s="279"/>
      <c r="E40" s="422"/>
      <c r="G40" s="556"/>
      <c r="H40" s="556"/>
      <c r="I40" s="556"/>
      <c r="J40" s="556"/>
      <c r="K40" s="556"/>
      <c r="L40" s="556"/>
    </row>
    <row r="41" spans="1:12" s="559" customFormat="1" ht="12.75" x14ac:dyDescent="0.2">
      <c r="A41" s="281"/>
      <c r="B41" s="557" t="s">
        <v>824</v>
      </c>
      <c r="C41" s="558">
        <f>14*64*730*1.82</f>
        <v>1190425.6000000001</v>
      </c>
      <c r="D41" s="280"/>
      <c r="G41" s="560"/>
      <c r="H41" s="560"/>
      <c r="I41" s="560"/>
      <c r="J41" s="560"/>
      <c r="K41" s="560"/>
      <c r="L41" s="560"/>
    </row>
    <row r="42" spans="1:12" s="559" customFormat="1" ht="12.75" x14ac:dyDescent="0.2">
      <c r="A42" s="281"/>
      <c r="B42" s="557" t="s">
        <v>825</v>
      </c>
      <c r="C42" s="558">
        <f>8*64*730*1.82</f>
        <v>680243.20000000007</v>
      </c>
      <c r="D42" s="280"/>
      <c r="G42" s="560"/>
      <c r="H42" s="560"/>
      <c r="I42" s="560"/>
      <c r="J42" s="560"/>
      <c r="K42" s="560"/>
      <c r="L42" s="560"/>
    </row>
    <row r="43" spans="1:12" s="553" customFormat="1" x14ac:dyDescent="0.25">
      <c r="A43" s="220"/>
      <c r="B43" s="552" t="s">
        <v>818</v>
      </c>
      <c r="C43" s="555"/>
      <c r="D43" s="279"/>
      <c r="E43" s="422"/>
      <c r="G43" s="556"/>
      <c r="H43" s="556"/>
      <c r="I43" s="556"/>
      <c r="J43" s="556"/>
      <c r="K43" s="556"/>
      <c r="L43" s="556"/>
    </row>
    <row r="44" spans="1:12" s="559" customFormat="1" ht="12.75" x14ac:dyDescent="0.2">
      <c r="A44" s="281"/>
      <c r="B44" s="557" t="s">
        <v>826</v>
      </c>
      <c r="C44" s="558">
        <f>14*166*840*1.82</f>
        <v>3552931.2</v>
      </c>
      <c r="D44" s="280"/>
      <c r="G44" s="560"/>
      <c r="H44" s="560"/>
      <c r="I44" s="560"/>
      <c r="J44" s="560"/>
      <c r="K44" s="560"/>
      <c r="L44" s="560"/>
    </row>
    <row r="45" spans="1:12" s="559" customFormat="1" ht="12.75" x14ac:dyDescent="0.2">
      <c r="A45" s="281"/>
      <c r="B45" s="557" t="s">
        <v>827</v>
      </c>
      <c r="C45" s="558">
        <f>8*166*840*1.82</f>
        <v>2030246.4000000001</v>
      </c>
      <c r="D45" s="280"/>
      <c r="G45" s="560"/>
      <c r="H45" s="560"/>
      <c r="I45" s="560"/>
      <c r="J45" s="560"/>
      <c r="K45" s="560"/>
      <c r="L45" s="560"/>
    </row>
    <row r="46" spans="1:12" s="191" customFormat="1" ht="12.75" x14ac:dyDescent="0.2">
      <c r="A46" s="561"/>
      <c r="B46" s="566"/>
      <c r="C46" s="563"/>
      <c r="D46" s="564"/>
      <c r="G46" s="565"/>
      <c r="H46" s="565"/>
      <c r="I46" s="565"/>
      <c r="J46" s="565"/>
      <c r="K46" s="565"/>
      <c r="L46" s="565"/>
    </row>
    <row r="47" spans="1:12" s="559" customFormat="1" x14ac:dyDescent="0.2">
      <c r="A47" s="220" t="s">
        <v>86</v>
      </c>
      <c r="B47" s="552" t="s">
        <v>340</v>
      </c>
      <c r="C47" s="545">
        <f>SUM(C49:C51)</f>
        <v>460000</v>
      </c>
      <c r="D47" s="223">
        <v>460000</v>
      </c>
      <c r="G47" s="560"/>
      <c r="H47" s="560"/>
      <c r="I47" s="560"/>
      <c r="J47" s="560"/>
      <c r="K47" s="560"/>
      <c r="L47" s="560"/>
    </row>
    <row r="48" spans="1:12" s="559" customFormat="1" x14ac:dyDescent="0.2">
      <c r="A48" s="220"/>
      <c r="B48" s="568"/>
      <c r="C48" s="545"/>
      <c r="D48" s="223"/>
      <c r="G48" s="560"/>
      <c r="H48" s="560"/>
      <c r="I48" s="560"/>
      <c r="J48" s="560"/>
      <c r="K48" s="560"/>
      <c r="L48" s="560"/>
    </row>
    <row r="49" spans="1:12" s="559" customFormat="1" ht="12.75" x14ac:dyDescent="0.2">
      <c r="A49" s="281"/>
      <c r="B49" s="557" t="s">
        <v>828</v>
      </c>
      <c r="C49" s="558">
        <f>2000*230</f>
        <v>460000</v>
      </c>
      <c r="D49" s="280"/>
      <c r="G49" s="560"/>
      <c r="H49" s="560"/>
      <c r="I49" s="560"/>
      <c r="J49" s="560"/>
      <c r="K49" s="560"/>
      <c r="L49" s="560"/>
    </row>
    <row r="50" spans="1:12" s="191" customFormat="1" ht="12.75" x14ac:dyDescent="0.2">
      <c r="A50" s="561"/>
      <c r="B50" s="566" t="s">
        <v>829</v>
      </c>
      <c r="C50" s="569">
        <v>0</v>
      </c>
      <c r="D50" s="564"/>
      <c r="G50" s="565"/>
      <c r="H50" s="565"/>
      <c r="I50" s="565"/>
      <c r="J50" s="565"/>
      <c r="K50" s="565"/>
      <c r="L50" s="565"/>
    </row>
    <row r="51" spans="1:12" s="191" customFormat="1" ht="12.75" x14ac:dyDescent="0.2">
      <c r="A51" s="561"/>
      <c r="B51" s="566" t="s">
        <v>830</v>
      </c>
      <c r="C51" s="569">
        <v>0</v>
      </c>
      <c r="D51" s="564"/>
      <c r="G51" s="565"/>
      <c r="H51" s="565"/>
      <c r="I51" s="565"/>
      <c r="J51" s="565"/>
      <c r="K51" s="565"/>
      <c r="L51" s="565"/>
    </row>
    <row r="52" spans="1:12" s="191" customFormat="1" ht="12.75" x14ac:dyDescent="0.2">
      <c r="A52" s="561"/>
      <c r="B52" s="566"/>
      <c r="C52" s="563"/>
      <c r="D52" s="564"/>
      <c r="G52" s="565"/>
      <c r="H52" s="565"/>
      <c r="I52" s="565"/>
      <c r="J52" s="565"/>
      <c r="K52" s="565"/>
      <c r="L52" s="565"/>
    </row>
    <row r="53" spans="1:12" s="572" customFormat="1" x14ac:dyDescent="0.25">
      <c r="A53" s="570" t="s">
        <v>76</v>
      </c>
      <c r="B53" s="552" t="s">
        <v>330</v>
      </c>
      <c r="C53" s="545">
        <f>SUM(C54:C56)</f>
        <v>2150238.5280000004</v>
      </c>
      <c r="D53" s="567">
        <v>2150239</v>
      </c>
      <c r="E53" s="571"/>
    </row>
    <row r="54" spans="1:12" s="572" customFormat="1" x14ac:dyDescent="0.25">
      <c r="A54" s="570"/>
      <c r="B54" s="557" t="s">
        <v>327</v>
      </c>
      <c r="C54" s="558">
        <f>SUM(C37)*0.27</f>
        <v>13500</v>
      </c>
      <c r="D54" s="567"/>
      <c r="E54" s="571"/>
    </row>
    <row r="55" spans="1:12" s="559" customFormat="1" ht="12.75" x14ac:dyDescent="0.2">
      <c r="A55" s="282"/>
      <c r="B55" s="557" t="s">
        <v>328</v>
      </c>
      <c r="C55" s="558">
        <f>SUM(C39)*0.27</f>
        <v>2012538.5280000002</v>
      </c>
      <c r="D55" s="280"/>
      <c r="G55" s="560"/>
      <c r="H55" s="560"/>
      <c r="I55" s="560"/>
      <c r="J55" s="560"/>
      <c r="K55" s="560"/>
      <c r="L55" s="560"/>
    </row>
    <row r="56" spans="1:12" s="572" customFormat="1" x14ac:dyDescent="0.25">
      <c r="A56" s="570"/>
      <c r="B56" s="557" t="s">
        <v>511</v>
      </c>
      <c r="C56" s="558">
        <f>SUM(C47)*0.27</f>
        <v>124200.00000000001</v>
      </c>
      <c r="D56" s="567"/>
      <c r="E56" s="571"/>
    </row>
    <row r="57" spans="1:12" s="192" customFormat="1" ht="12.75" x14ac:dyDescent="0.2">
      <c r="A57" s="281"/>
      <c r="B57" s="573"/>
      <c r="C57" s="574"/>
      <c r="D57" s="280"/>
      <c r="E57" s="191"/>
      <c r="G57" s="575"/>
      <c r="H57" s="575"/>
      <c r="I57" s="575"/>
      <c r="J57" s="575"/>
      <c r="K57" s="575"/>
      <c r="L57" s="575"/>
    </row>
    <row r="58" spans="1:12" x14ac:dyDescent="0.25">
      <c r="A58" s="659" t="s">
        <v>329</v>
      </c>
      <c r="B58" s="660"/>
      <c r="C58" s="327">
        <f>SUM(C37,C39,C47,C53)</f>
        <v>10114084.928000001</v>
      </c>
      <c r="D58" s="299">
        <f>SUM(D37:D57)</f>
        <v>10114085.4</v>
      </c>
      <c r="E58" s="22"/>
    </row>
    <row r="59" spans="1:12" x14ac:dyDescent="0.25">
      <c r="A59" s="661" t="s">
        <v>465</v>
      </c>
      <c r="B59" s="662"/>
      <c r="C59" s="300">
        <v>0</v>
      </c>
      <c r="D59" s="301">
        <v>0</v>
      </c>
      <c r="E59" s="22"/>
    </row>
    <row r="60" spans="1:12" x14ac:dyDescent="0.25">
      <c r="A60" s="661" t="s">
        <v>466</v>
      </c>
      <c r="B60" s="662"/>
      <c r="C60" s="300">
        <v>0</v>
      </c>
      <c r="D60" s="301">
        <v>0</v>
      </c>
      <c r="E60" s="22"/>
    </row>
    <row r="61" spans="1:12" ht="15.75" thickBot="1" x14ac:dyDescent="0.3">
      <c r="A61" s="296"/>
      <c r="B61" s="297"/>
      <c r="C61" s="297"/>
      <c r="D61" s="298"/>
      <c r="E61" s="22"/>
    </row>
    <row r="62" spans="1:12" s="291" customFormat="1" ht="18" customHeight="1" thickBot="1" x14ac:dyDescent="0.35">
      <c r="A62" s="655" t="s">
        <v>286</v>
      </c>
      <c r="B62" s="656"/>
      <c r="C62" s="326">
        <f>SUM(C58:C60)</f>
        <v>10114084.928000001</v>
      </c>
      <c r="D62" s="235">
        <f>SUM(D58)</f>
        <v>10114085.4</v>
      </c>
      <c r="E62" s="193"/>
    </row>
  </sheetData>
  <mergeCells count="14">
    <mergeCell ref="A1:D1"/>
    <mergeCell ref="B2:C2"/>
    <mergeCell ref="A28:B28"/>
    <mergeCell ref="A29:B29"/>
    <mergeCell ref="A30:B30"/>
    <mergeCell ref="F5:L5"/>
    <mergeCell ref="F6:L6"/>
    <mergeCell ref="A62:B62"/>
    <mergeCell ref="A32:B32"/>
    <mergeCell ref="A35:D35"/>
    <mergeCell ref="B36:C36"/>
    <mergeCell ref="A58:B58"/>
    <mergeCell ref="A59:B59"/>
    <mergeCell ref="A60:B60"/>
  </mergeCells>
  <printOptions horizontalCentered="1"/>
  <pageMargins left="0.59055118110236227" right="0.59055118110236227" top="1.299212598425197" bottom="1.2204724409448819" header="0.31496062992125984" footer="0.31496062992125984"/>
  <pageSetup paperSize="9" scale="87" orientation="portrait" r:id="rId1"/>
  <headerFooter>
    <oddHeader>&amp;C2023. évi költségvetés - tervezet 
Gyermeklánc Óvoda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25"/>
  <sheetViews>
    <sheetView showRuler="0" view="pageBreakPreview" topLeftCell="A97" zoomScaleNormal="100" zoomScaleSheetLayoutView="100" workbookViewId="0">
      <selection activeCell="D114" sqref="D114"/>
    </sheetView>
  </sheetViews>
  <sheetFormatPr defaultRowHeight="15" x14ac:dyDescent="0.25"/>
  <cols>
    <col min="2" max="2" width="58.140625" customWidth="1"/>
    <col min="3" max="3" width="22.140625" bestFit="1" customWidth="1"/>
    <col min="4" max="4" width="20.42578125" customWidth="1"/>
    <col min="5" max="5" width="6.7109375" customWidth="1"/>
    <col min="6" max="7" width="14.7109375" bestFit="1" customWidth="1"/>
    <col min="8" max="8" width="11" bestFit="1" customWidth="1"/>
    <col min="9" max="9" width="13.140625" bestFit="1" customWidth="1"/>
  </cols>
  <sheetData>
    <row r="1" spans="1:11" ht="21.75" thickBot="1" x14ac:dyDescent="0.3">
      <c r="A1" s="665" t="s">
        <v>284</v>
      </c>
      <c r="B1" s="665"/>
      <c r="C1" s="665"/>
      <c r="D1" s="665"/>
      <c r="E1" s="7"/>
    </row>
    <row r="2" spans="1:11" ht="15.75" thickBot="1" x14ac:dyDescent="0.3">
      <c r="A2" s="241" t="s">
        <v>2</v>
      </c>
      <c r="B2" s="671" t="s">
        <v>3</v>
      </c>
      <c r="C2" s="672"/>
      <c r="D2" s="242" t="s">
        <v>287</v>
      </c>
      <c r="E2" s="11"/>
    </row>
    <row r="3" spans="1:11" s="224" customFormat="1" ht="15" customHeight="1" x14ac:dyDescent="0.25">
      <c r="A3" s="448" t="s">
        <v>5</v>
      </c>
      <c r="B3" s="449" t="s">
        <v>461</v>
      </c>
      <c r="C3" s="450"/>
      <c r="D3" s="451"/>
    </row>
    <row r="4" spans="1:11" s="224" customFormat="1" ht="15" customHeight="1" x14ac:dyDescent="0.25">
      <c r="A4" s="448"/>
      <c r="B4" s="449" t="s">
        <v>469</v>
      </c>
      <c r="C4" s="450"/>
      <c r="D4" s="451">
        <f>SUM(C5:C29)</f>
        <v>104272850</v>
      </c>
    </row>
    <row r="5" spans="1:11" s="52" customFormat="1" ht="18" customHeight="1" x14ac:dyDescent="0.25">
      <c r="A5" s="218"/>
      <c r="B5" s="452" t="s">
        <v>669</v>
      </c>
      <c r="C5" s="227"/>
      <c r="D5" s="219"/>
      <c r="I5" s="333"/>
    </row>
    <row r="6" spans="1:11" s="286" customFormat="1" ht="15" customHeight="1" x14ac:dyDescent="0.25">
      <c r="A6" s="453"/>
      <c r="B6" s="375" t="s">
        <v>670</v>
      </c>
      <c r="C6" s="389">
        <f>347130+347130+328860+301455+319725+292320+274050+438480+411075+319725+347130+237510+264915+182700+182700</f>
        <v>4594905</v>
      </c>
      <c r="D6" s="454"/>
      <c r="E6" s="663"/>
      <c r="F6" s="664"/>
      <c r="G6" s="664"/>
      <c r="I6" s="288"/>
      <c r="J6" s="353"/>
    </row>
    <row r="7" spans="1:11" s="286" customFormat="1" ht="90.75" customHeight="1" x14ac:dyDescent="0.25">
      <c r="A7" s="453"/>
      <c r="B7" s="375" t="s">
        <v>671</v>
      </c>
      <c r="C7" s="389">
        <f>5063895*11</f>
        <v>55702845</v>
      </c>
      <c r="D7" s="454"/>
      <c r="F7" s="680"/>
      <c r="G7" s="681"/>
      <c r="H7" s="681"/>
      <c r="I7" s="681"/>
      <c r="J7" s="681"/>
      <c r="K7" s="682"/>
    </row>
    <row r="8" spans="1:11" s="286" customFormat="1" ht="9.75" customHeight="1" x14ac:dyDescent="0.25">
      <c r="A8" s="453"/>
      <c r="B8" s="375"/>
      <c r="C8" s="389"/>
      <c r="D8" s="454"/>
      <c r="F8" s="426"/>
      <c r="G8" s="426"/>
      <c r="H8" s="426"/>
      <c r="I8" s="426"/>
      <c r="J8" s="427"/>
      <c r="K8" s="426"/>
    </row>
    <row r="9" spans="1:11" s="52" customFormat="1" ht="18" customHeight="1" x14ac:dyDescent="0.25">
      <c r="A9" s="218"/>
      <c r="B9" s="370" t="s">
        <v>467</v>
      </c>
      <c r="C9" s="227"/>
      <c r="D9" s="219"/>
      <c r="F9" s="698"/>
      <c r="G9" s="698"/>
      <c r="H9" s="698"/>
      <c r="I9" s="428"/>
      <c r="J9" s="429"/>
      <c r="K9" s="430"/>
    </row>
    <row r="10" spans="1:11" s="286" customFormat="1" ht="15" customHeight="1" x14ac:dyDescent="0.25">
      <c r="A10" s="453"/>
      <c r="B10" s="375" t="s">
        <v>696</v>
      </c>
      <c r="C10" s="389">
        <v>260000</v>
      </c>
      <c r="D10" s="454"/>
      <c r="F10" s="426"/>
      <c r="G10" s="426"/>
      <c r="H10" s="426"/>
      <c r="I10" s="426"/>
      <c r="J10" s="426"/>
      <c r="K10" s="426"/>
    </row>
    <row r="11" spans="1:11" s="286" customFormat="1" ht="15" customHeight="1" x14ac:dyDescent="0.25">
      <c r="A11" s="453"/>
      <c r="B11" s="375" t="s">
        <v>672</v>
      </c>
      <c r="C11" s="389">
        <f>296400*11</f>
        <v>3260400</v>
      </c>
      <c r="D11" s="454"/>
      <c r="F11" s="426"/>
      <c r="G11" s="426"/>
      <c r="H11" s="426"/>
      <c r="I11" s="426"/>
      <c r="J11" s="426"/>
      <c r="K11" s="426"/>
    </row>
    <row r="12" spans="1:11" s="286" customFormat="1" ht="9.75" customHeight="1" x14ac:dyDescent="0.25">
      <c r="A12" s="453"/>
      <c r="B12" s="375"/>
      <c r="C12" s="389"/>
      <c r="D12" s="454"/>
      <c r="F12" s="426"/>
      <c r="G12" s="426"/>
      <c r="H12" s="426"/>
      <c r="I12" s="426"/>
      <c r="J12" s="426"/>
      <c r="K12" s="426"/>
    </row>
    <row r="13" spans="1:11" s="52" customFormat="1" ht="18" customHeight="1" x14ac:dyDescent="0.25">
      <c r="A13" s="218"/>
      <c r="B13" s="370" t="s">
        <v>556</v>
      </c>
      <c r="C13" s="227"/>
      <c r="D13" s="219"/>
      <c r="F13" s="430"/>
      <c r="G13" s="430"/>
      <c r="H13" s="430"/>
      <c r="I13" s="430"/>
      <c r="J13" s="430"/>
      <c r="K13" s="430"/>
    </row>
    <row r="14" spans="1:11" s="286" customFormat="1" ht="15" customHeight="1" x14ac:dyDescent="0.25">
      <c r="A14" s="453"/>
      <c r="B14" s="375" t="s">
        <v>673</v>
      </c>
      <c r="C14" s="389">
        <f>7*260000</f>
        <v>1820000</v>
      </c>
      <c r="D14" s="454"/>
      <c r="F14" s="426"/>
      <c r="G14" s="426"/>
      <c r="H14" s="426"/>
      <c r="I14" s="426"/>
      <c r="J14" s="426"/>
      <c r="K14" s="426"/>
    </row>
    <row r="15" spans="1:11" s="286" customFormat="1" ht="30" customHeight="1" x14ac:dyDescent="0.25">
      <c r="A15" s="453"/>
      <c r="B15" s="455" t="s">
        <v>769</v>
      </c>
      <c r="C15" s="389">
        <f>(7*296400*11)+(4*296400)</f>
        <v>24008400</v>
      </c>
      <c r="D15" s="454"/>
      <c r="F15" s="689"/>
      <c r="G15" s="690"/>
      <c r="H15" s="690"/>
      <c r="I15" s="690"/>
      <c r="J15" s="691"/>
      <c r="K15" s="426"/>
    </row>
    <row r="16" spans="1:11" s="286" customFormat="1" ht="9.75" customHeight="1" x14ac:dyDescent="0.25">
      <c r="A16" s="453"/>
      <c r="B16" s="375"/>
      <c r="C16" s="389"/>
      <c r="D16" s="454"/>
      <c r="F16" s="426"/>
      <c r="G16" s="426"/>
      <c r="H16" s="426"/>
      <c r="I16" s="426"/>
      <c r="J16" s="426"/>
      <c r="K16" s="426"/>
    </row>
    <row r="17" spans="1:11" s="52" customFormat="1" ht="18" customHeight="1" x14ac:dyDescent="0.25">
      <c r="A17" s="218"/>
      <c r="B17" s="370" t="s">
        <v>674</v>
      </c>
      <c r="C17" s="227"/>
      <c r="D17" s="219"/>
      <c r="F17" s="704"/>
      <c r="G17" s="704"/>
      <c r="H17" s="704"/>
      <c r="I17" s="704"/>
      <c r="J17" s="704"/>
      <c r="K17" s="430"/>
    </row>
    <row r="18" spans="1:11" s="286" customFormat="1" ht="15" customHeight="1" x14ac:dyDescent="0.25">
      <c r="A18" s="453"/>
      <c r="B18" s="375" t="s">
        <v>675</v>
      </c>
      <c r="C18" s="389">
        <f>3*260000</f>
        <v>780000</v>
      </c>
      <c r="D18" s="454"/>
      <c r="F18" s="704"/>
      <c r="G18" s="704"/>
      <c r="H18" s="704"/>
      <c r="I18" s="704"/>
      <c r="J18" s="704"/>
      <c r="K18" s="426"/>
    </row>
    <row r="19" spans="1:11" s="286" customFormat="1" ht="15" customHeight="1" x14ac:dyDescent="0.25">
      <c r="A19" s="453"/>
      <c r="B19" s="375" t="s">
        <v>676</v>
      </c>
      <c r="C19" s="389">
        <f>296400*3*11</f>
        <v>9781200</v>
      </c>
      <c r="D19" s="454"/>
      <c r="F19" s="426"/>
      <c r="G19" s="426"/>
      <c r="H19" s="426"/>
      <c r="I19" s="426"/>
      <c r="J19" s="426"/>
      <c r="K19" s="426"/>
    </row>
    <row r="20" spans="1:11" s="286" customFormat="1" ht="9.75" customHeight="1" x14ac:dyDescent="0.25">
      <c r="A20" s="453"/>
      <c r="B20" s="375"/>
      <c r="C20" s="389"/>
      <c r="D20" s="454"/>
      <c r="F20" s="426"/>
      <c r="G20" s="426"/>
      <c r="H20" s="426"/>
      <c r="I20" s="426"/>
      <c r="J20" s="426"/>
      <c r="K20" s="426"/>
    </row>
    <row r="21" spans="1:11" s="52" customFormat="1" ht="18" customHeight="1" x14ac:dyDescent="0.25">
      <c r="A21" s="218"/>
      <c r="B21" s="370" t="s">
        <v>754</v>
      </c>
      <c r="C21" s="227"/>
      <c r="D21" s="219"/>
      <c r="F21" s="430"/>
      <c r="G21" s="430"/>
      <c r="H21" s="430"/>
      <c r="I21" s="430"/>
      <c r="J21" s="430"/>
      <c r="K21" s="430"/>
    </row>
    <row r="22" spans="1:11" s="286" customFormat="1" ht="15" customHeight="1" x14ac:dyDescent="0.25">
      <c r="A22" s="453"/>
      <c r="B22" s="375" t="s">
        <v>677</v>
      </c>
      <c r="C22" s="389">
        <f>130000+195000</f>
        <v>325000</v>
      </c>
      <c r="D22" s="454"/>
      <c r="F22" s="426"/>
      <c r="G22" s="426"/>
      <c r="H22" s="426"/>
      <c r="I22" s="426"/>
      <c r="J22" s="426"/>
      <c r="K22" s="426"/>
    </row>
    <row r="23" spans="1:11" s="286" customFormat="1" ht="21.75" customHeight="1" x14ac:dyDescent="0.25">
      <c r="A23" s="453"/>
      <c r="B23" s="456" t="s">
        <v>770</v>
      </c>
      <c r="C23" s="457">
        <f>148200*11</f>
        <v>1630200</v>
      </c>
      <c r="D23" s="454"/>
      <c r="E23" s="392"/>
      <c r="F23" s="705"/>
      <c r="G23" s="705"/>
      <c r="H23" s="705"/>
      <c r="I23" s="705"/>
      <c r="J23" s="705"/>
      <c r="K23" s="426"/>
    </row>
    <row r="24" spans="1:11" s="286" customFormat="1" ht="28.5" customHeight="1" x14ac:dyDescent="0.25">
      <c r="A24" s="453"/>
      <c r="B24" s="456" t="s">
        <v>771</v>
      </c>
      <c r="C24" s="457">
        <f>148200*10</f>
        <v>1482000</v>
      </c>
      <c r="D24" s="454"/>
      <c r="F24" s="705"/>
      <c r="G24" s="705"/>
      <c r="H24" s="705"/>
      <c r="I24" s="705"/>
      <c r="J24" s="705"/>
      <c r="K24" s="426"/>
    </row>
    <row r="25" spans="1:11" s="286" customFormat="1" ht="36.75" customHeight="1" x14ac:dyDescent="0.25">
      <c r="A25" s="453"/>
      <c r="B25" s="458" t="s">
        <v>772</v>
      </c>
      <c r="C25" s="457">
        <f>148200*3</f>
        <v>444600</v>
      </c>
      <c r="D25" s="454"/>
      <c r="F25" s="706"/>
      <c r="G25" s="706"/>
      <c r="H25" s="706"/>
      <c r="I25" s="706"/>
      <c r="J25" s="706"/>
      <c r="K25" s="426"/>
    </row>
    <row r="26" spans="1:11" s="286" customFormat="1" ht="9.75" customHeight="1" x14ac:dyDescent="0.25">
      <c r="A26" s="453"/>
      <c r="B26" s="456"/>
      <c r="C26" s="457"/>
      <c r="D26" s="454"/>
      <c r="F26" s="431"/>
      <c r="G26" s="431"/>
      <c r="H26" s="431"/>
      <c r="I26" s="431"/>
      <c r="J26" s="431"/>
      <c r="K26" s="426"/>
    </row>
    <row r="27" spans="1:11" s="52" customFormat="1" ht="18" customHeight="1" x14ac:dyDescent="0.25">
      <c r="A27" s="218"/>
      <c r="B27" s="459" t="s">
        <v>782</v>
      </c>
      <c r="C27" s="447"/>
      <c r="D27" s="219"/>
      <c r="F27" s="431"/>
      <c r="G27" s="431"/>
      <c r="H27" s="431"/>
      <c r="I27" s="431"/>
      <c r="J27" s="431"/>
      <c r="K27" s="430"/>
    </row>
    <row r="28" spans="1:11" s="286" customFormat="1" ht="15" customHeight="1" x14ac:dyDescent="0.25">
      <c r="A28" s="453"/>
      <c r="B28" s="456" t="s">
        <v>678</v>
      </c>
      <c r="C28" s="457">
        <f>9500+8200</f>
        <v>17700</v>
      </c>
      <c r="D28" s="454"/>
      <c r="F28" s="699"/>
      <c r="G28" s="700"/>
      <c r="H28" s="700"/>
      <c r="I28" s="700"/>
      <c r="J28" s="701"/>
      <c r="K28" s="426"/>
    </row>
    <row r="29" spans="1:11" s="286" customFormat="1" ht="89.25" customHeight="1" x14ac:dyDescent="0.25">
      <c r="A29" s="453"/>
      <c r="B29" s="456" t="s">
        <v>755</v>
      </c>
      <c r="C29" s="457">
        <f>(6900*2)*11+(2*6900)</f>
        <v>165600</v>
      </c>
      <c r="D29" s="454"/>
      <c r="F29" s="432"/>
      <c r="G29" s="707"/>
      <c r="H29" s="707"/>
      <c r="I29" s="707"/>
      <c r="J29" s="707"/>
      <c r="K29" s="426"/>
    </row>
    <row r="30" spans="1:11" s="286" customFormat="1" ht="15" customHeight="1" x14ac:dyDescent="0.25">
      <c r="A30" s="453"/>
      <c r="B30" s="375"/>
      <c r="C30" s="389"/>
      <c r="D30" s="454"/>
      <c r="F30" s="426"/>
      <c r="G30" s="426"/>
      <c r="H30" s="426"/>
      <c r="I30" s="426"/>
      <c r="J30" s="426"/>
      <c r="K30" s="426"/>
    </row>
    <row r="31" spans="1:11" s="286" customFormat="1" ht="15" customHeight="1" x14ac:dyDescent="0.25">
      <c r="A31" s="453"/>
      <c r="B31" s="449" t="s">
        <v>468</v>
      </c>
      <c r="C31" s="389"/>
      <c r="D31" s="460">
        <f>SUM(C32:C66)</f>
        <v>28108949</v>
      </c>
      <c r="F31" s="426"/>
      <c r="G31" s="426"/>
      <c r="H31" s="426"/>
      <c r="I31" s="426"/>
      <c r="J31" s="426"/>
      <c r="K31" s="426"/>
    </row>
    <row r="32" spans="1:11" s="286" customFormat="1" ht="68.25" customHeight="1" x14ac:dyDescent="0.25">
      <c r="A32" s="453"/>
      <c r="B32" s="370" t="s">
        <v>783</v>
      </c>
      <c r="C32" s="389"/>
      <c r="D32" s="460"/>
      <c r="F32" s="426"/>
      <c r="G32" s="426"/>
      <c r="H32" s="426"/>
      <c r="I32" s="426"/>
      <c r="J32" s="426"/>
      <c r="K32" s="426"/>
    </row>
    <row r="33" spans="1:11" s="286" customFormat="1" ht="15" customHeight="1" x14ac:dyDescent="0.25">
      <c r="A33" s="453"/>
      <c r="B33" s="375" t="s">
        <v>679</v>
      </c>
      <c r="C33" s="389">
        <f>69426+69426+65772+60291+63945+58464+54810+87696+82215+63945+69426+47502+52983+36540+36540</f>
        <v>918981</v>
      </c>
      <c r="D33" s="454"/>
      <c r="F33" s="426"/>
      <c r="G33" s="426"/>
      <c r="H33" s="426"/>
      <c r="I33" s="426"/>
      <c r="J33" s="426"/>
      <c r="K33" s="426"/>
    </row>
    <row r="34" spans="1:11" s="286" customFormat="1" ht="37.5" customHeight="1" x14ac:dyDescent="0.25">
      <c r="A34" s="453"/>
      <c r="B34" s="375" t="s">
        <v>680</v>
      </c>
      <c r="C34" s="461">
        <f>(94848+111082+111082+94848+105235+99389+105235+102312+99389+140314+131544+102312+134467+94848+94848)*11</f>
        <v>17839283</v>
      </c>
      <c r="D34" s="454"/>
      <c r="F34" s="673"/>
      <c r="G34" s="673"/>
      <c r="H34" s="673"/>
      <c r="I34" s="673"/>
      <c r="J34" s="673"/>
      <c r="K34" s="426"/>
    </row>
    <row r="35" spans="1:11" s="286" customFormat="1" ht="9" customHeight="1" x14ac:dyDescent="0.25">
      <c r="A35" s="453"/>
      <c r="B35" s="462"/>
      <c r="C35" s="389"/>
      <c r="D35" s="454"/>
      <c r="F35" s="426"/>
      <c r="G35" s="426"/>
      <c r="H35" s="426"/>
      <c r="I35" s="426"/>
      <c r="J35" s="426"/>
      <c r="K35" s="426"/>
    </row>
    <row r="36" spans="1:11" s="52" customFormat="1" ht="35.25" customHeight="1" x14ac:dyDescent="0.25">
      <c r="A36" s="218"/>
      <c r="B36" s="370" t="s">
        <v>784</v>
      </c>
      <c r="C36" s="227"/>
      <c r="D36" s="219"/>
      <c r="F36" s="433"/>
      <c r="G36" s="430"/>
      <c r="H36" s="430"/>
      <c r="I36" s="430"/>
      <c r="J36" s="430"/>
      <c r="K36" s="430"/>
    </row>
    <row r="37" spans="1:11" s="286" customFormat="1" ht="15" customHeight="1" x14ac:dyDescent="0.25">
      <c r="A37" s="453"/>
      <c r="B37" s="375" t="s">
        <v>681</v>
      </c>
      <c r="C37" s="389">
        <f>18270+9135</f>
        <v>27405</v>
      </c>
      <c r="D37" s="454"/>
      <c r="F37" s="426"/>
      <c r="G37" s="426"/>
      <c r="H37" s="426"/>
      <c r="I37" s="426"/>
      <c r="J37" s="426"/>
      <c r="K37" s="426"/>
    </row>
    <row r="38" spans="1:11" s="286" customFormat="1" ht="15" customHeight="1" x14ac:dyDescent="0.25">
      <c r="A38" s="453"/>
      <c r="B38" s="375" t="s">
        <v>725</v>
      </c>
      <c r="C38" s="389">
        <f>(18270*3*11)+(9135*11)</f>
        <v>703395</v>
      </c>
      <c r="D38" s="454"/>
      <c r="F38" s="426"/>
      <c r="G38" s="426"/>
      <c r="H38" s="426"/>
      <c r="I38" s="426"/>
      <c r="J38" s="426"/>
      <c r="K38" s="426"/>
    </row>
    <row r="39" spans="1:11" s="286" customFormat="1" ht="9.75" customHeight="1" x14ac:dyDescent="0.25">
      <c r="A39" s="453"/>
      <c r="B39" s="375"/>
      <c r="C39" s="389"/>
      <c r="D39" s="454"/>
      <c r="F39" s="426"/>
      <c r="G39" s="426"/>
      <c r="H39" s="426"/>
      <c r="I39" s="426"/>
      <c r="J39" s="426"/>
      <c r="K39" s="426"/>
    </row>
    <row r="40" spans="1:11" s="52" customFormat="1" ht="18" customHeight="1" x14ac:dyDescent="0.25">
      <c r="A40" s="218"/>
      <c r="B40" s="370" t="s">
        <v>785</v>
      </c>
      <c r="C40" s="227"/>
      <c r="D40" s="219"/>
      <c r="F40" s="430"/>
      <c r="G40" s="430"/>
      <c r="H40" s="430"/>
      <c r="I40" s="430"/>
      <c r="J40" s="430"/>
      <c r="K40" s="430"/>
    </row>
    <row r="41" spans="1:11" s="286" customFormat="1" ht="15" customHeight="1" x14ac:dyDescent="0.25">
      <c r="A41" s="453"/>
      <c r="B41" s="375" t="s">
        <v>682</v>
      </c>
      <c r="C41" s="389">
        <v>30000</v>
      </c>
      <c r="D41" s="454"/>
      <c r="F41" s="426"/>
      <c r="G41" s="426"/>
      <c r="H41" s="426"/>
      <c r="I41" s="426"/>
      <c r="J41" s="426"/>
      <c r="K41" s="426"/>
    </row>
    <row r="42" spans="1:11" s="286" customFormat="1" ht="15" customHeight="1" x14ac:dyDescent="0.25">
      <c r="A42" s="453"/>
      <c r="B42" s="375" t="s">
        <v>683</v>
      </c>
      <c r="C42" s="389">
        <f>63600*11</f>
        <v>699600</v>
      </c>
      <c r="D42" s="454"/>
      <c r="F42" s="426"/>
      <c r="G42" s="426"/>
      <c r="H42" s="426"/>
      <c r="I42" s="426"/>
      <c r="J42" s="426"/>
      <c r="K42" s="426"/>
    </row>
    <row r="43" spans="1:11" s="286" customFormat="1" ht="9.75" customHeight="1" x14ac:dyDescent="0.25">
      <c r="A43" s="453"/>
      <c r="B43" s="375"/>
      <c r="C43" s="389"/>
      <c r="D43" s="454"/>
      <c r="F43" s="426"/>
      <c r="G43" s="426"/>
      <c r="H43" s="426"/>
      <c r="I43" s="426"/>
      <c r="J43" s="426"/>
      <c r="K43" s="426"/>
    </row>
    <row r="44" spans="1:11" s="52" customFormat="1" ht="18" customHeight="1" x14ac:dyDescent="0.25">
      <c r="A44" s="218"/>
      <c r="B44" s="370" t="s">
        <v>786</v>
      </c>
      <c r="C44" s="227"/>
      <c r="D44" s="219"/>
      <c r="F44" s="430"/>
      <c r="G44" s="430"/>
      <c r="H44" s="430"/>
      <c r="I44" s="430"/>
      <c r="J44" s="430"/>
      <c r="K44" s="430"/>
    </row>
    <row r="45" spans="1:11" s="286" customFormat="1" ht="15" customHeight="1" x14ac:dyDescent="0.25">
      <c r="A45" s="453"/>
      <c r="B45" s="375" t="s">
        <v>684</v>
      </c>
      <c r="C45" s="389">
        <f>15000*2*1</f>
        <v>30000</v>
      </c>
      <c r="D45" s="454"/>
      <c r="F45" s="426"/>
      <c r="G45" s="426"/>
      <c r="H45" s="426"/>
      <c r="I45" s="426"/>
      <c r="J45" s="426"/>
      <c r="K45" s="426"/>
    </row>
    <row r="46" spans="1:11" s="286" customFormat="1" ht="15" customHeight="1" x14ac:dyDescent="0.25">
      <c r="A46" s="453"/>
      <c r="B46" s="375" t="s">
        <v>685</v>
      </c>
      <c r="C46" s="389">
        <f>15000*2*11</f>
        <v>330000</v>
      </c>
      <c r="D46" s="454"/>
      <c r="F46" s="426"/>
      <c r="G46" s="426"/>
      <c r="H46" s="426"/>
      <c r="I46" s="426"/>
      <c r="J46" s="426"/>
      <c r="K46" s="426"/>
    </row>
    <row r="47" spans="1:11" s="286" customFormat="1" ht="9.75" customHeight="1" x14ac:dyDescent="0.25">
      <c r="A47" s="453"/>
      <c r="B47" s="375"/>
      <c r="C47" s="389"/>
      <c r="D47" s="454"/>
      <c r="F47" s="426"/>
      <c r="G47" s="426"/>
      <c r="H47" s="426"/>
      <c r="I47" s="426"/>
      <c r="J47" s="426"/>
      <c r="K47" s="426"/>
    </row>
    <row r="48" spans="1:11" s="52" customFormat="1" ht="18" customHeight="1" x14ac:dyDescent="0.25">
      <c r="A48" s="218"/>
      <c r="B48" s="370" t="s">
        <v>787</v>
      </c>
      <c r="C48" s="227"/>
      <c r="D48" s="219"/>
      <c r="F48" s="430"/>
      <c r="G48" s="430"/>
      <c r="H48" s="430"/>
      <c r="I48" s="430"/>
      <c r="J48" s="430"/>
      <c r="K48" s="430"/>
    </row>
    <row r="49" spans="1:11" s="286" customFormat="1" ht="15" customHeight="1" x14ac:dyDescent="0.25">
      <c r="A49" s="453"/>
      <c r="B49" s="375" t="s">
        <v>686</v>
      </c>
      <c r="C49" s="389">
        <v>146160</v>
      </c>
      <c r="D49" s="454"/>
      <c r="F49" s="426"/>
      <c r="G49" s="426"/>
      <c r="H49" s="426"/>
      <c r="I49" s="426"/>
      <c r="J49" s="426"/>
      <c r="K49" s="426"/>
    </row>
    <row r="50" spans="1:11" s="286" customFormat="1" ht="15" customHeight="1" x14ac:dyDescent="0.25">
      <c r="A50" s="453"/>
      <c r="B50" s="375" t="s">
        <v>687</v>
      </c>
      <c r="C50" s="389">
        <f>146160*11</f>
        <v>1607760</v>
      </c>
      <c r="D50" s="454"/>
      <c r="F50" s="426"/>
      <c r="G50" s="426"/>
      <c r="H50" s="426"/>
      <c r="I50" s="426"/>
      <c r="J50" s="426"/>
      <c r="K50" s="426"/>
    </row>
    <row r="51" spans="1:11" s="286" customFormat="1" ht="9.75" customHeight="1" x14ac:dyDescent="0.25">
      <c r="A51" s="453"/>
      <c r="B51" s="375"/>
      <c r="C51" s="389"/>
      <c r="D51" s="454"/>
      <c r="F51" s="426"/>
      <c r="G51" s="426"/>
      <c r="H51" s="426"/>
      <c r="I51" s="426"/>
      <c r="J51" s="426"/>
      <c r="K51" s="426"/>
    </row>
    <row r="52" spans="1:11" s="52" customFormat="1" ht="18" customHeight="1" x14ac:dyDescent="0.25">
      <c r="A52" s="218"/>
      <c r="B52" s="370" t="s">
        <v>788</v>
      </c>
      <c r="C52" s="227"/>
      <c r="D52" s="219"/>
      <c r="F52" s="430"/>
      <c r="G52" s="430"/>
      <c r="H52" s="430"/>
      <c r="I52" s="430"/>
      <c r="J52" s="430"/>
      <c r="K52" s="430"/>
    </row>
    <row r="53" spans="1:11" s="286" customFormat="1" ht="24" customHeight="1" x14ac:dyDescent="0.25">
      <c r="A53" s="453"/>
      <c r="B53" s="375" t="s">
        <v>688</v>
      </c>
      <c r="C53" s="389">
        <v>73080</v>
      </c>
      <c r="D53" s="454"/>
      <c r="F53" s="674"/>
      <c r="G53" s="675"/>
      <c r="H53" s="675"/>
      <c r="I53" s="675"/>
      <c r="J53" s="675"/>
      <c r="K53" s="676"/>
    </row>
    <row r="54" spans="1:11" s="350" customFormat="1" ht="38.25" customHeight="1" x14ac:dyDescent="0.25">
      <c r="A54" s="453"/>
      <c r="B54" s="456" t="s">
        <v>738</v>
      </c>
      <c r="C54" s="457">
        <f>82215*11</f>
        <v>904365</v>
      </c>
      <c r="D54" s="454"/>
      <c r="F54" s="677"/>
      <c r="G54" s="678"/>
      <c r="H54" s="678"/>
      <c r="I54" s="678"/>
      <c r="J54" s="678"/>
      <c r="K54" s="679"/>
    </row>
    <row r="55" spans="1:11" s="350" customFormat="1" ht="19.5" customHeight="1" x14ac:dyDescent="0.25">
      <c r="A55" s="453"/>
      <c r="B55" s="375"/>
      <c r="C55" s="389"/>
      <c r="D55" s="454"/>
      <c r="F55" s="708"/>
      <c r="G55" s="708"/>
      <c r="H55" s="708"/>
      <c r="I55" s="708"/>
      <c r="J55" s="708"/>
      <c r="K55" s="708"/>
    </row>
    <row r="56" spans="1:11" s="350" customFormat="1" ht="12.75" customHeight="1" x14ac:dyDescent="0.25">
      <c r="A56" s="453"/>
      <c r="B56" s="463"/>
      <c r="C56" s="389"/>
      <c r="D56" s="454"/>
      <c r="F56" s="434"/>
      <c r="G56" s="434"/>
      <c r="H56" s="434"/>
      <c r="I56" s="434"/>
      <c r="J56" s="434"/>
      <c r="K56" s="434"/>
    </row>
    <row r="57" spans="1:11" s="286" customFormat="1" ht="12" customHeight="1" x14ac:dyDescent="0.25">
      <c r="A57" s="453"/>
      <c r="B57" s="375"/>
      <c r="C57" s="389"/>
      <c r="D57" s="454"/>
      <c r="F57" s="435"/>
      <c r="G57" s="435"/>
      <c r="H57" s="435"/>
      <c r="I57" s="435"/>
      <c r="J57" s="435"/>
      <c r="K57" s="435"/>
    </row>
    <row r="58" spans="1:11" s="52" customFormat="1" ht="36.75" customHeight="1" x14ac:dyDescent="0.25">
      <c r="A58" s="218"/>
      <c r="B58" s="370" t="s">
        <v>789</v>
      </c>
      <c r="C58" s="227"/>
      <c r="D58" s="219"/>
      <c r="F58" s="434"/>
      <c r="G58" s="434"/>
      <c r="H58" s="434"/>
      <c r="I58" s="434"/>
      <c r="J58" s="434"/>
      <c r="K58" s="434"/>
    </row>
    <row r="59" spans="1:11" s="286" customFormat="1" ht="23.25" customHeight="1" x14ac:dyDescent="0.25">
      <c r="A59" s="453"/>
      <c r="B59" s="375" t="s">
        <v>690</v>
      </c>
      <c r="C59" s="389"/>
      <c r="D59" s="454"/>
      <c r="F59" s="692"/>
      <c r="G59" s="693"/>
      <c r="H59" s="693"/>
      <c r="I59" s="693"/>
      <c r="J59" s="694"/>
      <c r="K59" s="426"/>
    </row>
    <row r="60" spans="1:11" s="286" customFormat="1" ht="15" customHeight="1" x14ac:dyDescent="0.25">
      <c r="A60" s="453"/>
      <c r="B60" s="375" t="s">
        <v>689</v>
      </c>
      <c r="C60" s="389">
        <f>12180*10*1</f>
        <v>121800</v>
      </c>
      <c r="D60" s="454"/>
      <c r="F60" s="426"/>
      <c r="G60" s="426"/>
      <c r="H60" s="426"/>
      <c r="I60" s="426"/>
      <c r="J60" s="426"/>
      <c r="K60" s="426"/>
    </row>
    <row r="61" spans="1:11" s="286" customFormat="1" ht="27" customHeight="1" x14ac:dyDescent="0.25">
      <c r="A61" s="453"/>
      <c r="B61" s="375" t="s">
        <v>739</v>
      </c>
      <c r="C61" s="389">
        <f>(12180*10*11)+(4*12180)</f>
        <v>1388520</v>
      </c>
      <c r="D61" s="454"/>
      <c r="F61" s="426"/>
      <c r="G61" s="702"/>
      <c r="H61" s="702"/>
      <c r="I61" s="426"/>
      <c r="J61" s="426"/>
      <c r="K61" s="426"/>
    </row>
    <row r="62" spans="1:11" s="286" customFormat="1" ht="9.75" customHeight="1" x14ac:dyDescent="0.25">
      <c r="A62" s="453"/>
      <c r="B62" s="375"/>
      <c r="C62" s="389"/>
      <c r="D62" s="454"/>
      <c r="F62" s="426"/>
      <c r="G62" s="426"/>
      <c r="H62" s="426"/>
      <c r="I62" s="426"/>
      <c r="J62" s="426"/>
      <c r="K62" s="426"/>
    </row>
    <row r="63" spans="1:11" s="286" customFormat="1" ht="30.75" customHeight="1" x14ac:dyDescent="0.25">
      <c r="A63" s="453"/>
      <c r="B63" s="370" t="s">
        <v>790</v>
      </c>
      <c r="C63" s="389"/>
      <c r="D63" s="454"/>
      <c r="F63" s="426"/>
      <c r="G63" s="426"/>
      <c r="H63" s="426"/>
      <c r="I63" s="426"/>
      <c r="J63" s="426"/>
      <c r="K63" s="426"/>
    </row>
    <row r="64" spans="1:11" s="286" customFormat="1" ht="15" customHeight="1" x14ac:dyDescent="0.25">
      <c r="A64" s="453"/>
      <c r="B64" s="375" t="s">
        <v>691</v>
      </c>
      <c r="C64" s="389"/>
      <c r="D64" s="454"/>
      <c r="F64" s="426"/>
      <c r="G64" s="426"/>
      <c r="H64" s="426"/>
      <c r="I64" s="426"/>
      <c r="J64" s="426"/>
      <c r="K64" s="426"/>
    </row>
    <row r="65" spans="1:11" s="286" customFormat="1" ht="15" customHeight="1" x14ac:dyDescent="0.25">
      <c r="A65" s="453"/>
      <c r="B65" s="375" t="s">
        <v>737</v>
      </c>
      <c r="C65" s="389">
        <f>18270*15</f>
        <v>274050</v>
      </c>
      <c r="D65" s="454"/>
      <c r="F65" s="426"/>
      <c r="G65" s="426"/>
      <c r="H65" s="426"/>
      <c r="I65" s="426"/>
      <c r="J65" s="426"/>
      <c r="K65" s="426"/>
    </row>
    <row r="66" spans="1:11" s="286" customFormat="1" ht="15" customHeight="1" x14ac:dyDescent="0.25">
      <c r="A66" s="453"/>
      <c r="B66" s="375" t="s">
        <v>736</v>
      </c>
      <c r="C66" s="389">
        <f>(18270*15)*11</f>
        <v>3014550</v>
      </c>
      <c r="D66" s="454"/>
      <c r="F66" s="426"/>
      <c r="G66" s="426"/>
      <c r="H66" s="426"/>
      <c r="I66" s="426"/>
      <c r="J66" s="426"/>
      <c r="K66" s="426"/>
    </row>
    <row r="67" spans="1:11" s="286" customFormat="1" ht="15" customHeight="1" x14ac:dyDescent="0.25">
      <c r="A67" s="453"/>
      <c r="B67" s="375"/>
      <c r="C67" s="389"/>
      <c r="D67" s="454"/>
      <c r="F67" s="426"/>
      <c r="G67" s="426"/>
      <c r="H67" s="426"/>
      <c r="I67" s="426"/>
      <c r="J67" s="426"/>
      <c r="K67" s="426"/>
    </row>
    <row r="68" spans="1:11" s="286" customFormat="1" ht="15" customHeight="1" x14ac:dyDescent="0.25">
      <c r="A68" s="464" t="s">
        <v>12</v>
      </c>
      <c r="B68" s="449" t="s">
        <v>470</v>
      </c>
      <c r="C68" s="389"/>
      <c r="D68" s="460">
        <f>SUM(C69:C71)</f>
        <v>1676850</v>
      </c>
      <c r="F68" s="426"/>
      <c r="G68" s="426"/>
      <c r="H68" s="426"/>
      <c r="I68" s="426"/>
      <c r="J68" s="426"/>
      <c r="K68" s="426"/>
    </row>
    <row r="69" spans="1:11" s="305" customFormat="1" ht="60" customHeight="1" x14ac:dyDescent="0.25">
      <c r="A69" s="453"/>
      <c r="B69" s="465" t="s">
        <v>740</v>
      </c>
      <c r="C69" s="389">
        <f>296400*2</f>
        <v>592800</v>
      </c>
      <c r="D69" s="454"/>
      <c r="F69" s="683"/>
      <c r="G69" s="684"/>
      <c r="H69" s="684"/>
      <c r="I69" s="684"/>
      <c r="J69" s="685"/>
      <c r="K69" s="436"/>
    </row>
    <row r="70" spans="1:11" s="286" customFormat="1" ht="33" customHeight="1" x14ac:dyDescent="0.25">
      <c r="A70" s="453"/>
      <c r="B70" s="466" t="s">
        <v>693</v>
      </c>
      <c r="C70" s="467">
        <f>222300*2</f>
        <v>444600</v>
      </c>
      <c r="D70" s="454"/>
      <c r="F70" s="703"/>
      <c r="G70" s="703"/>
      <c r="H70" s="703"/>
      <c r="I70" s="703"/>
      <c r="J70" s="426"/>
      <c r="K70" s="426"/>
    </row>
    <row r="71" spans="1:11" s="286" customFormat="1" ht="29.25" customHeight="1" x14ac:dyDescent="0.25">
      <c r="A71" s="453"/>
      <c r="B71" s="370" t="s">
        <v>692</v>
      </c>
      <c r="C71" s="467">
        <f>319725*2</f>
        <v>639450</v>
      </c>
      <c r="D71" s="454"/>
      <c r="F71" s="709"/>
      <c r="G71" s="710"/>
      <c r="H71" s="710"/>
      <c r="I71" s="710"/>
      <c r="J71" s="711"/>
      <c r="K71" s="426"/>
    </row>
    <row r="72" spans="1:11" s="286" customFormat="1" ht="15" customHeight="1" x14ac:dyDescent="0.25">
      <c r="A72" s="453"/>
      <c r="B72" s="375"/>
      <c r="C72" s="389"/>
      <c r="D72" s="454"/>
      <c r="F72" s="426"/>
      <c r="G72" s="426"/>
      <c r="H72" s="426"/>
      <c r="I72" s="426"/>
      <c r="J72" s="426"/>
      <c r="K72" s="426"/>
    </row>
    <row r="73" spans="1:11" x14ac:dyDescent="0.25">
      <c r="A73" s="468" t="s">
        <v>13</v>
      </c>
      <c r="B73" s="376" t="s">
        <v>211</v>
      </c>
      <c r="C73" s="452"/>
      <c r="D73" s="460">
        <f>SUM(C74)</f>
        <v>80000</v>
      </c>
      <c r="F73" s="437"/>
      <c r="G73" s="437"/>
      <c r="H73" s="437"/>
      <c r="I73" s="437"/>
      <c r="J73" s="437"/>
      <c r="K73" s="437"/>
    </row>
    <row r="74" spans="1:11" s="302" customFormat="1" x14ac:dyDescent="0.25">
      <c r="A74" s="218"/>
      <c r="B74" s="469" t="s">
        <v>694</v>
      </c>
      <c r="C74" s="389">
        <v>80000</v>
      </c>
      <c r="D74" s="219"/>
      <c r="F74" s="438"/>
      <c r="G74" s="438"/>
      <c r="H74" s="438"/>
      <c r="I74" s="438"/>
      <c r="J74" s="438"/>
      <c r="K74" s="438"/>
    </row>
    <row r="75" spans="1:11" s="302" customFormat="1" x14ac:dyDescent="0.25">
      <c r="A75" s="218"/>
      <c r="B75" s="469"/>
      <c r="C75" s="470"/>
      <c r="D75" s="219"/>
      <c r="F75" s="438"/>
      <c r="G75" s="438"/>
      <c r="H75" s="438"/>
      <c r="I75" s="438"/>
      <c r="J75" s="438"/>
      <c r="K75" s="438"/>
    </row>
    <row r="76" spans="1:11" s="286" customFormat="1" ht="15" customHeight="1" x14ac:dyDescent="0.25">
      <c r="A76" s="464" t="s">
        <v>15</v>
      </c>
      <c r="B76" s="449" t="s">
        <v>365</v>
      </c>
      <c r="C76" s="389"/>
      <c r="D76" s="460">
        <f>SUM(C77:C80)</f>
        <v>336000</v>
      </c>
      <c r="F76" s="426"/>
      <c r="G76" s="426"/>
      <c r="H76" s="426"/>
      <c r="I76" s="426"/>
      <c r="J76" s="426"/>
      <c r="K76" s="426"/>
    </row>
    <row r="77" spans="1:11" s="173" customFormat="1" x14ac:dyDescent="0.25">
      <c r="A77" s="471"/>
      <c r="B77" s="472" t="s">
        <v>507</v>
      </c>
      <c r="C77" s="389"/>
      <c r="D77" s="454"/>
      <c r="F77" s="439"/>
      <c r="G77" s="439"/>
      <c r="H77" s="439"/>
      <c r="I77" s="439"/>
      <c r="J77" s="439"/>
      <c r="K77" s="439"/>
    </row>
    <row r="78" spans="1:11" s="173" customFormat="1" x14ac:dyDescent="0.25">
      <c r="A78" s="471"/>
      <c r="B78" s="472" t="s">
        <v>557</v>
      </c>
      <c r="C78" s="389">
        <f>15*1000*12</f>
        <v>180000</v>
      </c>
      <c r="D78" s="454"/>
      <c r="F78" s="439"/>
      <c r="G78" s="439"/>
      <c r="H78" s="439"/>
      <c r="I78" s="439"/>
      <c r="J78" s="439"/>
      <c r="K78" s="439"/>
    </row>
    <row r="79" spans="1:11" s="173" customFormat="1" x14ac:dyDescent="0.25">
      <c r="A79" s="471"/>
      <c r="B79" s="472" t="s">
        <v>695</v>
      </c>
      <c r="C79" s="389">
        <f>1000*10*12</f>
        <v>120000</v>
      </c>
      <c r="D79" s="454"/>
      <c r="F79" s="439"/>
      <c r="G79" s="439"/>
      <c r="H79" s="439"/>
      <c r="I79" s="439"/>
      <c r="J79" s="439"/>
      <c r="K79" s="439"/>
    </row>
    <row r="80" spans="1:11" s="173" customFormat="1" x14ac:dyDescent="0.25">
      <c r="A80" s="471"/>
      <c r="B80" s="472" t="s">
        <v>472</v>
      </c>
      <c r="C80" s="389">
        <f>1000*3*12</f>
        <v>36000</v>
      </c>
      <c r="D80" s="454"/>
      <c r="F80" s="439"/>
      <c r="G80" s="439"/>
      <c r="H80" s="439"/>
      <c r="I80" s="439"/>
      <c r="J80" s="439"/>
      <c r="K80" s="439"/>
    </row>
    <row r="81" spans="1:11" s="173" customFormat="1" x14ac:dyDescent="0.25">
      <c r="A81" s="471"/>
      <c r="B81" s="472"/>
      <c r="C81" s="389"/>
      <c r="D81" s="454"/>
      <c r="F81" s="439"/>
      <c r="G81" s="439"/>
      <c r="H81" s="439"/>
      <c r="I81" s="439"/>
      <c r="J81" s="439"/>
      <c r="K81" s="439"/>
    </row>
    <row r="82" spans="1:11" s="585" customFormat="1" x14ac:dyDescent="0.25">
      <c r="A82" s="468" t="s">
        <v>18</v>
      </c>
      <c r="B82" s="376" t="s">
        <v>835</v>
      </c>
      <c r="C82" s="452"/>
      <c r="D82" s="460">
        <f>SUM(C83)</f>
        <v>1308277</v>
      </c>
      <c r="F82" s="437"/>
      <c r="G82" s="437"/>
      <c r="H82" s="437"/>
      <c r="I82" s="437"/>
      <c r="J82" s="437"/>
      <c r="K82" s="437"/>
    </row>
    <row r="83" spans="1:11" s="302" customFormat="1" x14ac:dyDescent="0.25">
      <c r="A83" s="218"/>
      <c r="B83" s="469" t="s">
        <v>834</v>
      </c>
      <c r="C83" s="389">
        <v>1308277</v>
      </c>
      <c r="D83" s="219"/>
      <c r="F83" s="438"/>
      <c r="G83" s="438"/>
      <c r="H83" s="438"/>
      <c r="I83" s="438"/>
      <c r="J83" s="438"/>
      <c r="K83" s="438"/>
    </row>
    <row r="84" spans="1:11" x14ac:dyDescent="0.25">
      <c r="A84" s="473"/>
      <c r="B84" s="370"/>
      <c r="C84" s="370"/>
      <c r="D84" s="219"/>
      <c r="F84" s="437"/>
      <c r="G84" s="437"/>
      <c r="H84" s="437"/>
      <c r="I84" s="437"/>
      <c r="J84" s="437"/>
      <c r="K84" s="437"/>
    </row>
    <row r="85" spans="1:11" s="286" customFormat="1" ht="15" customHeight="1" x14ac:dyDescent="0.25">
      <c r="A85" s="464" t="s">
        <v>21</v>
      </c>
      <c r="B85" s="449" t="s">
        <v>471</v>
      </c>
      <c r="C85" s="389"/>
      <c r="D85" s="460">
        <f>SUM(C86:C91)</f>
        <v>757500</v>
      </c>
      <c r="F85" s="426"/>
      <c r="G85" s="426"/>
      <c r="H85" s="426"/>
      <c r="I85" s="426"/>
      <c r="J85" s="426"/>
      <c r="K85" s="426"/>
    </row>
    <row r="86" spans="1:11" s="286" customFormat="1" ht="15.75" customHeight="1" x14ac:dyDescent="0.25">
      <c r="A86" s="453"/>
      <c r="B86" s="375" t="s">
        <v>743</v>
      </c>
      <c r="C86" s="389">
        <v>15000</v>
      </c>
      <c r="D86" s="454"/>
      <c r="F86" s="674"/>
      <c r="G86" s="675"/>
      <c r="H86" s="675"/>
      <c r="I86" s="676"/>
      <c r="J86" s="426"/>
      <c r="K86" s="426"/>
    </row>
    <row r="87" spans="1:11" s="286" customFormat="1" ht="30" customHeight="1" x14ac:dyDescent="0.25">
      <c r="A87" s="453"/>
      <c r="B87" s="375" t="s">
        <v>791</v>
      </c>
      <c r="C87" s="389">
        <f>15000*5.5</f>
        <v>82500</v>
      </c>
      <c r="D87" s="454"/>
      <c r="F87" s="695"/>
      <c r="G87" s="696"/>
      <c r="H87" s="696"/>
      <c r="I87" s="697"/>
      <c r="J87" s="426"/>
      <c r="K87" s="426"/>
    </row>
    <row r="88" spans="1:11" s="286" customFormat="1" ht="31.5" customHeight="1" x14ac:dyDescent="0.25">
      <c r="A88" s="453"/>
      <c r="B88" s="375" t="s">
        <v>792</v>
      </c>
      <c r="C88" s="389">
        <f>18000*3</f>
        <v>54000</v>
      </c>
      <c r="D88" s="454"/>
      <c r="F88" s="677"/>
      <c r="G88" s="678"/>
      <c r="H88" s="678"/>
      <c r="I88" s="679"/>
      <c r="J88" s="426"/>
      <c r="K88" s="426"/>
    </row>
    <row r="89" spans="1:11" s="286" customFormat="1" ht="10.5" customHeight="1" x14ac:dyDescent="0.25">
      <c r="A89" s="453"/>
      <c r="B89" s="375"/>
      <c r="C89" s="389"/>
      <c r="D89" s="454"/>
      <c r="F89" s="426"/>
      <c r="G89" s="426"/>
      <c r="H89" s="426"/>
      <c r="I89" s="426"/>
      <c r="J89" s="426"/>
      <c r="K89" s="426"/>
    </row>
    <row r="90" spans="1:11" s="286" customFormat="1" ht="21" customHeight="1" x14ac:dyDescent="0.25">
      <c r="A90" s="453"/>
      <c r="B90" s="375" t="s">
        <v>774</v>
      </c>
      <c r="C90" s="389">
        <f>15000+15000+30000</f>
        <v>60000</v>
      </c>
      <c r="D90" s="454"/>
      <c r="F90" s="703"/>
      <c r="G90" s="703"/>
      <c r="H90" s="703"/>
      <c r="I90" s="703"/>
      <c r="J90" s="426"/>
      <c r="K90" s="426"/>
    </row>
    <row r="91" spans="1:11" s="286" customFormat="1" ht="60.75" customHeight="1" x14ac:dyDescent="0.25">
      <c r="A91" s="453"/>
      <c r="B91" s="375" t="s">
        <v>773</v>
      </c>
      <c r="C91" s="389">
        <f>(15000*2)*5.5+(30000*5.5)+(18000*2)*3+(36000*3)</f>
        <v>546000</v>
      </c>
      <c r="D91" s="454"/>
      <c r="F91" s="426"/>
      <c r="G91" s="426"/>
      <c r="H91" s="426"/>
      <c r="I91" s="426"/>
      <c r="J91" s="426"/>
      <c r="K91" s="426"/>
    </row>
    <row r="92" spans="1:11" x14ac:dyDescent="0.25">
      <c r="A92" s="473"/>
      <c r="B92" s="469"/>
      <c r="C92" s="474"/>
      <c r="D92" s="219"/>
      <c r="F92" s="437"/>
      <c r="G92" s="437"/>
      <c r="H92" s="437"/>
      <c r="I92" s="437"/>
      <c r="J92" s="437"/>
      <c r="K92" s="437"/>
    </row>
    <row r="93" spans="1:11" s="286" customFormat="1" ht="15" customHeight="1" x14ac:dyDescent="0.25">
      <c r="A93" s="464" t="s">
        <v>391</v>
      </c>
      <c r="B93" s="449" t="s">
        <v>473</v>
      </c>
      <c r="C93" s="389"/>
      <c r="D93" s="460">
        <f>SUM(C94:C95)</f>
        <v>250000</v>
      </c>
      <c r="F93" s="426"/>
      <c r="G93" s="426"/>
      <c r="H93" s="426"/>
      <c r="I93" s="426"/>
      <c r="J93" s="426"/>
      <c r="K93" s="426"/>
    </row>
    <row r="94" spans="1:11" s="286" customFormat="1" ht="15" customHeight="1" x14ac:dyDescent="0.25">
      <c r="A94" s="453"/>
      <c r="B94" s="462" t="s">
        <v>474</v>
      </c>
      <c r="C94" s="389">
        <v>250000</v>
      </c>
      <c r="D94" s="454"/>
      <c r="F94" s="426"/>
      <c r="G94" s="426"/>
      <c r="H94" s="426"/>
      <c r="I94" s="426"/>
      <c r="J94" s="426"/>
      <c r="K94" s="426"/>
    </row>
    <row r="95" spans="1:11" s="286" customFormat="1" ht="15" customHeight="1" x14ac:dyDescent="0.25">
      <c r="A95" s="283"/>
      <c r="B95" s="284"/>
      <c r="C95" s="285"/>
      <c r="D95" s="252"/>
      <c r="F95" s="426"/>
      <c r="G95" s="426"/>
      <c r="H95" s="426"/>
      <c r="I95" s="426"/>
      <c r="J95" s="426"/>
      <c r="K95" s="426"/>
    </row>
    <row r="96" spans="1:11" x14ac:dyDescent="0.25">
      <c r="A96" s="668" t="s">
        <v>23</v>
      </c>
      <c r="B96" s="614"/>
      <c r="C96" s="158"/>
      <c r="D96" s="200">
        <f>SUM(D3:D95)</f>
        <v>136790426</v>
      </c>
      <c r="E96" s="22"/>
      <c r="F96" s="437"/>
      <c r="G96" s="437"/>
      <c r="H96" s="437"/>
      <c r="I96" s="437"/>
      <c r="J96" s="437"/>
      <c r="K96" s="437"/>
    </row>
    <row r="97" spans="1:11" x14ac:dyDescent="0.25">
      <c r="A97" s="294"/>
      <c r="B97" s="158"/>
      <c r="C97" s="158"/>
      <c r="D97" s="200"/>
      <c r="E97" s="22"/>
      <c r="F97" s="437"/>
      <c r="G97" s="437"/>
      <c r="H97" s="437"/>
      <c r="I97" s="437"/>
      <c r="J97" s="437"/>
      <c r="K97" s="437"/>
    </row>
    <row r="98" spans="1:11" x14ac:dyDescent="0.25">
      <c r="A98" s="220" t="s">
        <v>475</v>
      </c>
      <c r="B98" s="221" t="s">
        <v>366</v>
      </c>
      <c r="C98" s="167"/>
      <c r="D98" s="223">
        <v>22987195</v>
      </c>
      <c r="F98" s="686"/>
      <c r="G98" s="687"/>
      <c r="H98" s="687"/>
      <c r="I98" s="687"/>
      <c r="J98" s="688"/>
      <c r="K98" s="437"/>
    </row>
    <row r="99" spans="1:11" s="585" customFormat="1" x14ac:dyDescent="0.25">
      <c r="A99" s="220"/>
      <c r="B99" s="221" t="s">
        <v>836</v>
      </c>
      <c r="C99" s="303">
        <v>176943</v>
      </c>
      <c r="D99" s="223"/>
      <c r="F99" s="586"/>
      <c r="G99" s="586"/>
      <c r="H99" s="586"/>
      <c r="I99" s="586"/>
      <c r="J99" s="586"/>
      <c r="K99" s="437"/>
    </row>
    <row r="100" spans="1:11" x14ac:dyDescent="0.25">
      <c r="A100" s="220"/>
      <c r="B100" s="390" t="s">
        <v>726</v>
      </c>
      <c r="C100" s="167"/>
      <c r="D100" s="223"/>
      <c r="F100" s="437"/>
      <c r="G100" s="440"/>
      <c r="H100" s="437"/>
      <c r="I100" s="437"/>
      <c r="J100" s="437"/>
      <c r="K100" s="437"/>
    </row>
    <row r="101" spans="1:11" x14ac:dyDescent="0.25">
      <c r="A101" s="253"/>
      <c r="B101" s="167" t="s">
        <v>727</v>
      </c>
      <c r="C101" s="303">
        <f>SUM(C6,C10,C14,C18,C22,C28)*0.13</f>
        <v>1013688.65</v>
      </c>
      <c r="D101" s="274"/>
      <c r="F101" s="440"/>
      <c r="G101" s="437"/>
      <c r="H101" s="437"/>
      <c r="I101" s="437"/>
      <c r="J101" s="437"/>
      <c r="K101" s="437"/>
    </row>
    <row r="102" spans="1:11" x14ac:dyDescent="0.25">
      <c r="A102" s="253"/>
      <c r="B102" s="167" t="s">
        <v>728</v>
      </c>
      <c r="C102" s="303">
        <f>SUM(C33,C37,C41,C45,C49,C53,C60,C65)*0.13</f>
        <v>210791.88</v>
      </c>
      <c r="D102" s="274"/>
      <c r="F102" s="437"/>
      <c r="G102" s="441"/>
      <c r="H102" s="442"/>
      <c r="I102" s="437"/>
      <c r="J102" s="437"/>
      <c r="K102" s="437"/>
    </row>
    <row r="103" spans="1:11" x14ac:dyDescent="0.25">
      <c r="A103" s="253"/>
      <c r="B103" s="167" t="s">
        <v>729</v>
      </c>
      <c r="C103" s="303">
        <f>SUM(C86,C90)*0.13</f>
        <v>9750</v>
      </c>
      <c r="D103" s="274"/>
      <c r="F103" s="437"/>
      <c r="G103" s="443"/>
      <c r="H103" s="443"/>
      <c r="I103" s="437"/>
      <c r="J103" s="437"/>
      <c r="K103" s="437"/>
    </row>
    <row r="104" spans="1:11" x14ac:dyDescent="0.25">
      <c r="A104" s="253"/>
      <c r="B104" s="390" t="s">
        <v>730</v>
      </c>
      <c r="C104" s="303"/>
      <c r="D104" s="274"/>
      <c r="F104" s="444"/>
      <c r="G104" s="443"/>
      <c r="H104" s="443"/>
      <c r="I104" s="437"/>
      <c r="J104" s="437"/>
      <c r="K104" s="437"/>
    </row>
    <row r="105" spans="1:11" x14ac:dyDescent="0.25">
      <c r="A105" s="253"/>
      <c r="B105" s="167" t="s">
        <v>731</v>
      </c>
      <c r="C105" s="303">
        <f>SUM(C7,C11,C15,C19,C23,C24,C25,C29)*0.13</f>
        <v>12541781.85</v>
      </c>
      <c r="D105" s="274"/>
      <c r="F105" s="437"/>
      <c r="G105" s="443"/>
      <c r="H105" s="443"/>
      <c r="I105" s="437"/>
      <c r="J105" s="437"/>
      <c r="K105" s="437"/>
    </row>
    <row r="106" spans="1:11" x14ac:dyDescent="0.25">
      <c r="A106" s="253"/>
      <c r="B106" s="167" t="s">
        <v>732</v>
      </c>
      <c r="C106" s="303">
        <f>SUM(C34,C38,C42,C46,C50,C54,C61,C66)*0.13</f>
        <v>3443371.49</v>
      </c>
      <c r="D106" s="274"/>
      <c r="F106" s="437"/>
      <c r="G106" s="443"/>
      <c r="H106" s="443"/>
      <c r="I106" s="437"/>
      <c r="J106" s="437"/>
      <c r="K106" s="437"/>
    </row>
    <row r="107" spans="1:11" x14ac:dyDescent="0.25">
      <c r="A107" s="253"/>
      <c r="B107" s="167" t="s">
        <v>733</v>
      </c>
      <c r="C107" s="303">
        <f>SUM(C87,C88,C91)*0.13</f>
        <v>88725</v>
      </c>
      <c r="D107" s="274"/>
      <c r="F107" s="437"/>
      <c r="G107" s="441"/>
      <c r="H107" s="442"/>
      <c r="I107" s="437"/>
      <c r="J107" s="437"/>
      <c r="K107" s="437"/>
    </row>
    <row r="108" spans="1:11" x14ac:dyDescent="0.25">
      <c r="A108" s="253"/>
      <c r="B108" s="167" t="s">
        <v>477</v>
      </c>
      <c r="C108" s="303">
        <f>SUM(D68)*0.13</f>
        <v>217990.5</v>
      </c>
      <c r="D108" s="199"/>
      <c r="F108" s="437"/>
      <c r="G108" s="445"/>
      <c r="H108" s="445"/>
      <c r="I108" s="437"/>
      <c r="J108" s="437"/>
      <c r="K108" s="437"/>
    </row>
    <row r="109" spans="1:11" x14ac:dyDescent="0.25">
      <c r="A109" s="253"/>
      <c r="B109" s="167" t="s">
        <v>478</v>
      </c>
      <c r="C109" s="303">
        <f>SUM(C78:C80)*0.13</f>
        <v>43680</v>
      </c>
      <c r="D109" s="199"/>
      <c r="F109" s="437"/>
      <c r="G109" s="437"/>
      <c r="H109" s="437"/>
      <c r="I109" s="437"/>
      <c r="J109" s="437"/>
      <c r="K109" s="437"/>
    </row>
    <row r="110" spans="1:11" x14ac:dyDescent="0.25">
      <c r="A110" s="253"/>
      <c r="B110" s="29" t="s">
        <v>479</v>
      </c>
      <c r="C110" s="303">
        <f>SUM('091140 Óvoda fenntartás'!C26)*1.27*0.2*1.18*0.13</f>
        <v>11315.029440000002</v>
      </c>
      <c r="D110" s="199"/>
      <c r="F110" s="437"/>
      <c r="G110" s="437"/>
      <c r="H110" s="437"/>
      <c r="I110" s="437"/>
      <c r="J110" s="437"/>
      <c r="K110" s="437"/>
    </row>
    <row r="111" spans="1:11" x14ac:dyDescent="0.25">
      <c r="A111" s="253"/>
      <c r="B111" s="29" t="s">
        <v>481</v>
      </c>
      <c r="C111" s="303">
        <f>SUM(C94)*1.27*1.18*0.13</f>
        <v>48704.5</v>
      </c>
      <c r="D111" s="199"/>
      <c r="F111" s="437"/>
      <c r="G111" s="437"/>
      <c r="H111" s="437"/>
      <c r="I111" s="437"/>
      <c r="J111" s="437"/>
      <c r="K111" s="437"/>
    </row>
    <row r="112" spans="1:11" x14ac:dyDescent="0.25">
      <c r="A112" s="253"/>
      <c r="B112" s="390" t="s">
        <v>522</v>
      </c>
      <c r="C112" s="303"/>
      <c r="D112" s="199"/>
      <c r="F112" s="437"/>
      <c r="G112" s="440"/>
      <c r="H112" s="437"/>
      <c r="I112" s="437"/>
      <c r="J112" s="437"/>
      <c r="K112" s="437"/>
    </row>
    <row r="113" spans="1:11" x14ac:dyDescent="0.25">
      <c r="A113" s="253"/>
      <c r="B113" s="29" t="s">
        <v>480</v>
      </c>
      <c r="C113" s="303">
        <f>SUM('091140 Óvoda fenntartás'!C26)*1.27*0.2*1.18*0.15</f>
        <v>13055.8032</v>
      </c>
      <c r="D113" s="199"/>
      <c r="F113" s="437"/>
      <c r="G113" s="437"/>
      <c r="H113" s="437"/>
      <c r="I113" s="437"/>
      <c r="J113" s="437"/>
      <c r="K113" s="437"/>
    </row>
    <row r="114" spans="1:11" x14ac:dyDescent="0.25">
      <c r="A114" s="253"/>
      <c r="B114" s="29" t="s">
        <v>482</v>
      </c>
      <c r="C114" s="303">
        <f>SUM(C94)*1.27*1.18*0.15</f>
        <v>56197.5</v>
      </c>
      <c r="D114" s="199"/>
      <c r="F114" s="437"/>
      <c r="G114" s="437"/>
      <c r="H114" s="437"/>
      <c r="I114" s="437"/>
      <c r="J114" s="437"/>
      <c r="K114" s="437"/>
    </row>
    <row r="115" spans="1:11" x14ac:dyDescent="0.25">
      <c r="A115" s="253"/>
      <c r="B115" s="29" t="s">
        <v>476</v>
      </c>
      <c r="C115" s="303">
        <v>100000</v>
      </c>
      <c r="D115" s="199"/>
      <c r="F115" s="437"/>
      <c r="G115" s="437"/>
      <c r="H115" s="437"/>
      <c r="I115" s="437"/>
      <c r="J115" s="437"/>
      <c r="K115" s="437"/>
    </row>
    <row r="116" spans="1:11" x14ac:dyDescent="0.25">
      <c r="A116" s="253"/>
      <c r="B116" s="154" t="s">
        <v>483</v>
      </c>
      <c r="C116" s="303">
        <f>232000*9*2.4</f>
        <v>5011200</v>
      </c>
      <c r="D116" s="199"/>
      <c r="F116" s="437"/>
      <c r="G116" s="437"/>
      <c r="H116" s="437"/>
      <c r="I116" s="437"/>
      <c r="J116" s="437"/>
      <c r="K116" s="437"/>
    </row>
    <row r="117" spans="1:11" x14ac:dyDescent="0.25">
      <c r="A117" s="253"/>
      <c r="B117" s="175" t="s">
        <v>734</v>
      </c>
      <c r="C117" s="303"/>
      <c r="D117" s="199"/>
      <c r="F117" s="437"/>
      <c r="G117" s="437"/>
      <c r="H117" s="437"/>
      <c r="I117" s="437"/>
      <c r="J117" s="437"/>
      <c r="K117" s="437"/>
    </row>
    <row r="118" spans="1:11" x14ac:dyDescent="0.25">
      <c r="A118" s="253"/>
      <c r="B118" s="335" t="s">
        <v>735</v>
      </c>
      <c r="C118" s="29"/>
      <c r="D118" s="199"/>
      <c r="F118" s="437"/>
      <c r="G118" s="437"/>
      <c r="H118" s="437"/>
      <c r="I118" s="437"/>
      <c r="J118" s="437"/>
      <c r="K118" s="437"/>
    </row>
    <row r="119" spans="1:11" ht="15.75" thickBot="1" x14ac:dyDescent="0.3">
      <c r="A119" s="669" t="s">
        <v>32</v>
      </c>
      <c r="B119" s="670"/>
      <c r="C119" s="270"/>
      <c r="D119" s="202">
        <f>SUM(D98:D118)</f>
        <v>22987195</v>
      </c>
      <c r="E119" s="22"/>
      <c r="F119" s="437"/>
      <c r="G119" s="437"/>
      <c r="H119" s="437"/>
      <c r="I119" s="437"/>
      <c r="J119" s="437"/>
      <c r="K119" s="437"/>
    </row>
    <row r="120" spans="1:11" ht="19.5" thickBot="1" x14ac:dyDescent="0.35">
      <c r="A120" s="666" t="s">
        <v>305</v>
      </c>
      <c r="B120" s="667"/>
      <c r="C120" s="334">
        <f>SUM(C3:C119)</f>
        <v>159777621.20264</v>
      </c>
      <c r="D120" s="273">
        <f>SUM(D96,D119)</f>
        <v>159777621</v>
      </c>
      <c r="E120" s="3"/>
      <c r="F120" s="437"/>
      <c r="G120" s="437"/>
      <c r="H120" s="437"/>
      <c r="I120" s="437"/>
      <c r="J120" s="437"/>
      <c r="K120" s="437"/>
    </row>
    <row r="121" spans="1:11" x14ac:dyDescent="0.25">
      <c r="B121" s="306"/>
      <c r="F121" s="437"/>
      <c r="G121" s="437"/>
      <c r="H121" s="437"/>
      <c r="I121" s="437"/>
      <c r="J121" s="437"/>
      <c r="K121" s="437"/>
    </row>
    <row r="125" spans="1:11" x14ac:dyDescent="0.25">
      <c r="C125" s="304">
        <f>SUM(C4:C119)</f>
        <v>159777621.20264</v>
      </c>
    </row>
  </sheetData>
  <mergeCells count="25">
    <mergeCell ref="G61:H61"/>
    <mergeCell ref="F70:I70"/>
    <mergeCell ref="F90:I90"/>
    <mergeCell ref="F17:J18"/>
    <mergeCell ref="F23:J24"/>
    <mergeCell ref="F25:J25"/>
    <mergeCell ref="G29:J29"/>
    <mergeCell ref="F55:K55"/>
    <mergeCell ref="F71:J71"/>
    <mergeCell ref="E6:G6"/>
    <mergeCell ref="A1:D1"/>
    <mergeCell ref="A120:B120"/>
    <mergeCell ref="A96:B96"/>
    <mergeCell ref="A119:B119"/>
    <mergeCell ref="B2:C2"/>
    <mergeCell ref="F34:J34"/>
    <mergeCell ref="F53:K54"/>
    <mergeCell ref="F7:K7"/>
    <mergeCell ref="F69:J69"/>
    <mergeCell ref="F98:J98"/>
    <mergeCell ref="F15:J15"/>
    <mergeCell ref="F59:J59"/>
    <mergeCell ref="F86:I88"/>
    <mergeCell ref="F9:H9"/>
    <mergeCell ref="F28:J28"/>
  </mergeCells>
  <phoneticPr fontId="37" type="noConversion"/>
  <printOptions horizontalCentered="1"/>
  <pageMargins left="0.19685039370078741" right="0.19685039370078741" top="0.9055118110236221" bottom="0.70866141732283472" header="0.31496062992125984" footer="0.31496062992125984"/>
  <pageSetup paperSize="9" scale="70" orientation="portrait" r:id="rId1"/>
  <headerFooter>
    <oddHeader>&amp;C2023. évi költségvetés - tervezet 
Gyermeklánc Óvoda</oddHeader>
  </headerFooter>
  <rowBreaks count="1" manualBreakCount="1">
    <brk id="6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89"/>
  <sheetViews>
    <sheetView showRuler="0" view="pageBreakPreview" topLeftCell="A60" zoomScaleNormal="100" zoomScaleSheetLayoutView="100" workbookViewId="0">
      <selection activeCell="N11" sqref="N11"/>
    </sheetView>
  </sheetViews>
  <sheetFormatPr defaultRowHeight="15" x14ac:dyDescent="0.25"/>
  <cols>
    <col min="2" max="2" width="57.85546875" customWidth="1"/>
    <col min="3" max="3" width="18.7109375" bestFit="1" customWidth="1"/>
    <col min="4" max="4" width="17.140625" style="153" customWidth="1"/>
    <col min="7" max="7" width="11" bestFit="1" customWidth="1"/>
  </cols>
  <sheetData>
    <row r="1" spans="1:12" ht="21.75" thickBot="1" x14ac:dyDescent="0.3">
      <c r="A1" s="712" t="s">
        <v>306</v>
      </c>
      <c r="B1" s="712"/>
      <c r="C1" s="712"/>
      <c r="D1" s="712"/>
      <c r="E1" s="7"/>
    </row>
    <row r="2" spans="1:12" ht="15.75" thickBot="1" x14ac:dyDescent="0.3">
      <c r="A2" s="241" t="s">
        <v>2</v>
      </c>
      <c r="B2" s="671" t="s">
        <v>3</v>
      </c>
      <c r="C2" s="672"/>
      <c r="D2" s="242" t="s">
        <v>4</v>
      </c>
      <c r="E2" s="11"/>
    </row>
    <row r="3" spans="1:12" s="176" customFormat="1" x14ac:dyDescent="0.25">
      <c r="A3" s="475" t="s">
        <v>127</v>
      </c>
      <c r="B3" s="476" t="s">
        <v>128</v>
      </c>
      <c r="C3" s="477"/>
      <c r="D3" s="240">
        <f>SUM(C4:C8)</f>
        <v>195000</v>
      </c>
      <c r="E3" s="11"/>
    </row>
    <row r="4" spans="1:12" s="173" customFormat="1" x14ac:dyDescent="0.25">
      <c r="A4" s="478"/>
      <c r="B4" s="479" t="s">
        <v>316</v>
      </c>
      <c r="C4" s="480">
        <v>50000</v>
      </c>
      <c r="D4" s="481"/>
      <c r="E4" s="172"/>
    </row>
    <row r="5" spans="1:12" s="173" customFormat="1" x14ac:dyDescent="0.25">
      <c r="A5" s="478"/>
      <c r="B5" s="479" t="s">
        <v>315</v>
      </c>
      <c r="C5" s="480">
        <v>15000</v>
      </c>
      <c r="D5" s="481"/>
      <c r="E5" s="172"/>
    </row>
    <row r="6" spans="1:12" s="173" customFormat="1" x14ac:dyDescent="0.25">
      <c r="A6" s="478"/>
      <c r="B6" s="479" t="s">
        <v>317</v>
      </c>
      <c r="C6" s="480">
        <v>50000</v>
      </c>
      <c r="D6" s="481"/>
      <c r="E6" s="172"/>
    </row>
    <row r="7" spans="1:12" s="173" customFormat="1" x14ac:dyDescent="0.25">
      <c r="A7" s="478"/>
      <c r="B7" s="479" t="s">
        <v>318</v>
      </c>
      <c r="C7" s="480">
        <v>50000</v>
      </c>
      <c r="D7" s="481"/>
      <c r="E7" s="172"/>
    </row>
    <row r="8" spans="1:12" s="173" customFormat="1" ht="30" x14ac:dyDescent="0.25">
      <c r="A8" s="478"/>
      <c r="B8" s="482" t="s">
        <v>314</v>
      </c>
      <c r="C8" s="480">
        <v>30000</v>
      </c>
      <c r="D8" s="481"/>
      <c r="E8" s="172"/>
    </row>
    <row r="9" spans="1:12" s="176" customFormat="1" x14ac:dyDescent="0.25">
      <c r="A9" s="483" t="s">
        <v>129</v>
      </c>
      <c r="B9" s="344" t="s">
        <v>130</v>
      </c>
      <c r="C9" s="419"/>
      <c r="D9" s="223">
        <f>SUM(C10:C17)</f>
        <v>2370000</v>
      </c>
      <c r="E9" s="11"/>
    </row>
    <row r="10" spans="1:12" s="173" customFormat="1" ht="33" customHeight="1" x14ac:dyDescent="0.25">
      <c r="A10" s="484"/>
      <c r="B10" s="284" t="s">
        <v>443</v>
      </c>
      <c r="C10" s="480">
        <v>300000</v>
      </c>
      <c r="D10" s="252"/>
    </row>
    <row r="11" spans="1:12" s="173" customFormat="1" ht="30" x14ac:dyDescent="0.25">
      <c r="A11" s="484"/>
      <c r="B11" s="446" t="s">
        <v>311</v>
      </c>
      <c r="C11" s="480">
        <v>90000</v>
      </c>
      <c r="D11" s="252"/>
      <c r="F11" s="718"/>
      <c r="G11" s="718"/>
      <c r="I11" s="721"/>
      <c r="J11" s="722"/>
      <c r="K11" s="722"/>
      <c r="L11" s="723"/>
    </row>
    <row r="12" spans="1:12" s="173" customFormat="1" x14ac:dyDescent="0.25">
      <c r="A12" s="484"/>
      <c r="B12" s="485" t="s">
        <v>313</v>
      </c>
      <c r="C12" s="480">
        <v>50000</v>
      </c>
      <c r="D12" s="252"/>
    </row>
    <row r="13" spans="1:12" s="173" customFormat="1" x14ac:dyDescent="0.25">
      <c r="A13" s="484"/>
      <c r="B13" s="485" t="s">
        <v>560</v>
      </c>
      <c r="C13" s="480">
        <f>28*15000</f>
        <v>420000</v>
      </c>
      <c r="D13" s="252"/>
    </row>
    <row r="14" spans="1:12" s="173" customFormat="1" x14ac:dyDescent="0.25">
      <c r="A14" s="484"/>
      <c r="B14" s="485" t="s">
        <v>561</v>
      </c>
      <c r="C14" s="480">
        <f>7*60000</f>
        <v>420000</v>
      </c>
      <c r="D14" s="252"/>
    </row>
    <row r="15" spans="1:12" s="173" customFormat="1" ht="31.5" customHeight="1" x14ac:dyDescent="0.25">
      <c r="A15" s="484"/>
      <c r="B15" s="486" t="s">
        <v>485</v>
      </c>
      <c r="C15" s="480">
        <v>300000</v>
      </c>
      <c r="D15" s="252"/>
    </row>
    <row r="16" spans="1:12" s="173" customFormat="1" ht="27.75" customHeight="1" x14ac:dyDescent="0.25">
      <c r="A16" s="484"/>
      <c r="B16" s="284" t="s">
        <v>562</v>
      </c>
      <c r="C16" s="480">
        <v>300000</v>
      </c>
      <c r="D16" s="252"/>
    </row>
    <row r="17" spans="1:5" s="173" customFormat="1" ht="30" customHeight="1" x14ac:dyDescent="0.25">
      <c r="A17" s="484"/>
      <c r="B17" s="284" t="s">
        <v>312</v>
      </c>
      <c r="C17" s="480">
        <v>490000</v>
      </c>
      <c r="D17" s="252"/>
    </row>
    <row r="18" spans="1:5" s="176" customFormat="1" x14ac:dyDescent="0.25">
      <c r="A18" s="206"/>
      <c r="B18" s="207" t="s">
        <v>344</v>
      </c>
      <c r="C18" s="230"/>
      <c r="D18" s="208">
        <f>SUM(D3:D17)</f>
        <v>2565000</v>
      </c>
      <c r="E18" s="195"/>
    </row>
    <row r="19" spans="1:5" s="176" customFormat="1" x14ac:dyDescent="0.25">
      <c r="A19" s="487" t="s">
        <v>319</v>
      </c>
      <c r="B19" s="488" t="s">
        <v>320</v>
      </c>
      <c r="C19" s="489"/>
      <c r="D19" s="460">
        <f>SUM(C20:C23)</f>
        <v>597600</v>
      </c>
      <c r="E19" s="11"/>
    </row>
    <row r="20" spans="1:5" s="173" customFormat="1" ht="28.5" customHeight="1" x14ac:dyDescent="0.25">
      <c r="A20" s="471"/>
      <c r="B20" s="490" t="s">
        <v>563</v>
      </c>
      <c r="C20" s="491">
        <f>12*5900+12*3900</f>
        <v>117600</v>
      </c>
      <c r="D20" s="454"/>
    </row>
    <row r="21" spans="1:5" s="173" customFormat="1" ht="17.25" customHeight="1" x14ac:dyDescent="0.25">
      <c r="A21" s="471"/>
      <c r="B21" s="492" t="s">
        <v>749</v>
      </c>
      <c r="C21" s="491">
        <f>5000*6*12</f>
        <v>360000</v>
      </c>
      <c r="D21" s="454"/>
    </row>
    <row r="22" spans="1:5" s="173" customFormat="1" ht="30" customHeight="1" x14ac:dyDescent="0.25">
      <c r="A22" s="471"/>
      <c r="B22" s="492" t="s">
        <v>506</v>
      </c>
      <c r="C22" s="491">
        <v>0</v>
      </c>
      <c r="D22" s="454"/>
    </row>
    <row r="23" spans="1:5" s="173" customFormat="1" ht="30.75" customHeight="1" x14ac:dyDescent="0.25">
      <c r="A23" s="471"/>
      <c r="B23" s="375" t="s">
        <v>573</v>
      </c>
      <c r="C23" s="491">
        <f>6*20000</f>
        <v>120000</v>
      </c>
      <c r="D23" s="454"/>
    </row>
    <row r="24" spans="1:5" s="176" customFormat="1" x14ac:dyDescent="0.25">
      <c r="A24" s="487" t="s">
        <v>273</v>
      </c>
      <c r="B24" s="488" t="s">
        <v>335</v>
      </c>
      <c r="C24" s="489"/>
      <c r="D24" s="460">
        <f>SUM(C25:C26)</f>
        <v>298400</v>
      </c>
      <c r="E24" s="11"/>
    </row>
    <row r="25" spans="1:5" x14ac:dyDescent="0.25">
      <c r="A25" s="473"/>
      <c r="B25" s="493" t="s">
        <v>564</v>
      </c>
      <c r="C25" s="491">
        <f>2000*4</f>
        <v>8000</v>
      </c>
      <c r="D25" s="219"/>
    </row>
    <row r="26" spans="1:5" s="173" customFormat="1" ht="17.25" customHeight="1" x14ac:dyDescent="0.25">
      <c r="A26" s="471"/>
      <c r="B26" s="492" t="s">
        <v>424</v>
      </c>
      <c r="C26" s="491">
        <f>24200*12</f>
        <v>290400</v>
      </c>
      <c r="D26" s="454"/>
    </row>
    <row r="27" spans="1:5" s="176" customFormat="1" x14ac:dyDescent="0.25">
      <c r="A27" s="206"/>
      <c r="B27" s="207" t="s">
        <v>425</v>
      </c>
      <c r="C27" s="230"/>
      <c r="D27" s="208">
        <f>SUM(D19:D25)</f>
        <v>896000</v>
      </c>
      <c r="E27" s="195"/>
    </row>
    <row r="28" spans="1:5" s="176" customFormat="1" x14ac:dyDescent="0.25">
      <c r="A28" s="487" t="s">
        <v>336</v>
      </c>
      <c r="B28" s="376" t="s">
        <v>337</v>
      </c>
      <c r="C28" s="494"/>
      <c r="D28" s="460">
        <f>SUM(C29:C31)</f>
        <v>9227869</v>
      </c>
      <c r="E28" s="195"/>
    </row>
    <row r="29" spans="1:5" x14ac:dyDescent="0.25">
      <c r="A29" s="473"/>
      <c r="B29" s="452" t="s">
        <v>661</v>
      </c>
      <c r="C29" s="102">
        <f>(9628*747)+(1729*102)</f>
        <v>7368474</v>
      </c>
      <c r="D29" s="219"/>
    </row>
    <row r="30" spans="1:5" x14ac:dyDescent="0.25">
      <c r="A30" s="473"/>
      <c r="B30" s="452" t="s">
        <v>660</v>
      </c>
      <c r="C30" s="102">
        <f>(16670*70.1)+(2523*36)</f>
        <v>1259395</v>
      </c>
      <c r="D30" s="219"/>
    </row>
    <row r="31" spans="1:5" x14ac:dyDescent="0.25">
      <c r="A31" s="473"/>
      <c r="B31" s="452" t="s">
        <v>72</v>
      </c>
      <c r="C31" s="102">
        <v>600000</v>
      </c>
      <c r="D31" s="219"/>
    </row>
    <row r="32" spans="1:5" s="176" customFormat="1" x14ac:dyDescent="0.25">
      <c r="A32" s="487" t="s">
        <v>378</v>
      </c>
      <c r="B32" s="376" t="s">
        <v>429</v>
      </c>
      <c r="C32" s="494"/>
      <c r="D32" s="460">
        <f>SUM(C33)</f>
        <v>50000</v>
      </c>
      <c r="E32" s="195"/>
    </row>
    <row r="33" spans="1:12" x14ac:dyDescent="0.25">
      <c r="A33" s="473"/>
      <c r="B33" s="452" t="s">
        <v>431</v>
      </c>
      <c r="C33" s="264">
        <v>50000</v>
      </c>
      <c r="D33" s="219"/>
    </row>
    <row r="34" spans="1:12" s="176" customFormat="1" x14ac:dyDescent="0.25">
      <c r="A34" s="487" t="s">
        <v>79</v>
      </c>
      <c r="B34" s="376" t="s">
        <v>426</v>
      </c>
      <c r="C34" s="494"/>
      <c r="D34" s="460">
        <f>SUM(C35:C38)</f>
        <v>1480000</v>
      </c>
      <c r="E34" s="195"/>
    </row>
    <row r="35" spans="1:12" ht="18" customHeight="1" x14ac:dyDescent="0.25">
      <c r="A35" s="473"/>
      <c r="B35" s="370" t="s">
        <v>427</v>
      </c>
      <c r="C35" s="102">
        <v>600000</v>
      </c>
      <c r="D35" s="219"/>
    </row>
    <row r="36" spans="1:12" ht="30" x14ac:dyDescent="0.25">
      <c r="A36" s="473"/>
      <c r="B36" s="370" t="s">
        <v>428</v>
      </c>
      <c r="C36" s="102">
        <v>800000</v>
      </c>
      <c r="D36" s="219"/>
    </row>
    <row r="37" spans="1:12" x14ac:dyDescent="0.25">
      <c r="A37" s="495"/>
      <c r="B37" s="496" t="s">
        <v>96</v>
      </c>
      <c r="C37" s="497">
        <v>50000</v>
      </c>
      <c r="D37" s="498"/>
    </row>
    <row r="38" spans="1:12" x14ac:dyDescent="0.25">
      <c r="A38" s="495"/>
      <c r="B38" s="496" t="s">
        <v>101</v>
      </c>
      <c r="C38" s="499">
        <v>30000</v>
      </c>
      <c r="D38" s="498"/>
    </row>
    <row r="39" spans="1:12" s="176" customFormat="1" x14ac:dyDescent="0.25">
      <c r="A39" s="487" t="s">
        <v>83</v>
      </c>
      <c r="B39" s="376" t="s">
        <v>338</v>
      </c>
      <c r="C39" s="494"/>
      <c r="D39" s="460">
        <f>SUM(C40:C41)</f>
        <v>298000</v>
      </c>
      <c r="E39" s="195"/>
    </row>
    <row r="40" spans="1:12" x14ac:dyDescent="0.25">
      <c r="A40" s="473"/>
      <c r="B40" s="452" t="s">
        <v>565</v>
      </c>
      <c r="C40" s="102">
        <f>28*3500</f>
        <v>98000</v>
      </c>
      <c r="D40" s="219"/>
      <c r="G40" s="686"/>
      <c r="H40" s="687"/>
      <c r="I40" s="687"/>
      <c r="J40" s="687"/>
      <c r="K40" s="687"/>
      <c r="L40" s="688"/>
    </row>
    <row r="41" spans="1:12" x14ac:dyDescent="0.25">
      <c r="A41" s="473"/>
      <c r="B41" s="452" t="s">
        <v>531</v>
      </c>
      <c r="C41" s="264">
        <v>200000</v>
      </c>
      <c r="D41" s="219"/>
    </row>
    <row r="42" spans="1:12" s="176" customFormat="1" x14ac:dyDescent="0.25">
      <c r="A42" s="487" t="s">
        <v>86</v>
      </c>
      <c r="B42" s="376" t="s">
        <v>340</v>
      </c>
      <c r="C42" s="494"/>
      <c r="D42" s="460">
        <f>SUM(C43:C49)</f>
        <v>780000</v>
      </c>
      <c r="E42" s="195"/>
    </row>
    <row r="43" spans="1:12" x14ac:dyDescent="0.25">
      <c r="A43" s="495"/>
      <c r="B43" s="452" t="s">
        <v>90</v>
      </c>
      <c r="C43" s="497">
        <v>50000</v>
      </c>
      <c r="D43" s="498"/>
      <c r="G43" s="686"/>
      <c r="H43" s="687"/>
      <c r="I43" s="687"/>
      <c r="J43" s="687"/>
      <c r="K43" s="687"/>
      <c r="L43" s="688"/>
    </row>
    <row r="44" spans="1:12" ht="27.75" customHeight="1" x14ac:dyDescent="0.25">
      <c r="A44" s="495"/>
      <c r="B44" s="452" t="s">
        <v>94</v>
      </c>
      <c r="C44" s="497">
        <v>150000</v>
      </c>
      <c r="D44" s="498"/>
      <c r="E44" s="719"/>
      <c r="F44" s="720"/>
      <c r="G44" s="715"/>
      <c r="H44" s="716"/>
      <c r="I44" s="716"/>
      <c r="J44" s="716"/>
      <c r="K44" s="716"/>
      <c r="L44" s="717"/>
    </row>
    <row r="45" spans="1:12" x14ac:dyDescent="0.25">
      <c r="A45" s="473"/>
      <c r="B45" s="452" t="s">
        <v>88</v>
      </c>
      <c r="C45" s="102">
        <v>200000</v>
      </c>
      <c r="D45" s="219"/>
    </row>
    <row r="46" spans="1:12" x14ac:dyDescent="0.25">
      <c r="A46" s="495"/>
      <c r="B46" s="452" t="s">
        <v>92</v>
      </c>
      <c r="C46" s="497">
        <v>200000</v>
      </c>
      <c r="D46" s="498"/>
    </row>
    <row r="47" spans="1:12" x14ac:dyDescent="0.25">
      <c r="A47" s="473"/>
      <c r="B47" s="452" t="s">
        <v>532</v>
      </c>
      <c r="C47" s="102">
        <v>80000</v>
      </c>
      <c r="D47" s="219"/>
      <c r="G47" s="405"/>
    </row>
    <row r="48" spans="1:12" x14ac:dyDescent="0.25">
      <c r="A48" s="495"/>
      <c r="B48" s="496" t="s">
        <v>98</v>
      </c>
      <c r="C48" s="497">
        <v>0</v>
      </c>
      <c r="D48" s="498"/>
    </row>
    <row r="49" spans="1:7" x14ac:dyDescent="0.25">
      <c r="A49" s="495"/>
      <c r="B49" s="496" t="s">
        <v>97</v>
      </c>
      <c r="C49" s="497">
        <v>100000</v>
      </c>
      <c r="D49" s="498"/>
    </row>
    <row r="50" spans="1:7" s="176" customFormat="1" x14ac:dyDescent="0.25">
      <c r="A50" s="411"/>
      <c r="B50" s="412" t="s">
        <v>346</v>
      </c>
      <c r="C50" s="412"/>
      <c r="D50" s="208">
        <f>SUM(D28:D49)</f>
        <v>11835869</v>
      </c>
      <c r="E50" s="195"/>
    </row>
    <row r="51" spans="1:7" s="176" customFormat="1" x14ac:dyDescent="0.25">
      <c r="A51" s="245" t="s">
        <v>103</v>
      </c>
      <c r="B51" s="205" t="s">
        <v>341</v>
      </c>
      <c r="C51" s="231"/>
      <c r="D51" s="204">
        <f>SUM(C52)</f>
        <v>180000</v>
      </c>
      <c r="E51" s="195"/>
    </row>
    <row r="52" spans="1:7" x14ac:dyDescent="0.25">
      <c r="A52" s="254" t="s">
        <v>103</v>
      </c>
      <c r="B52" s="500" t="s">
        <v>432</v>
      </c>
      <c r="C52" s="168">
        <v>180000</v>
      </c>
      <c r="D52" s="201"/>
    </row>
    <row r="53" spans="1:7" s="176" customFormat="1" x14ac:dyDescent="0.25">
      <c r="A53" s="245" t="s">
        <v>342</v>
      </c>
      <c r="B53" s="205" t="s">
        <v>357</v>
      </c>
      <c r="C53" s="231"/>
      <c r="D53" s="204">
        <v>0</v>
      </c>
      <c r="E53" s="195"/>
    </row>
    <row r="54" spans="1:7" s="176" customFormat="1" x14ac:dyDescent="0.25">
      <c r="A54" s="411"/>
      <c r="B54" s="412" t="s">
        <v>360</v>
      </c>
      <c r="C54" s="412"/>
      <c r="D54" s="208">
        <f>SUM(D51:D53)</f>
        <v>180000</v>
      </c>
      <c r="E54" s="195"/>
    </row>
    <row r="55" spans="1:7" s="176" customFormat="1" x14ac:dyDescent="0.25">
      <c r="A55" s="307" t="s">
        <v>38</v>
      </c>
      <c r="B55" s="205" t="s">
        <v>343</v>
      </c>
      <c r="C55" s="214"/>
      <c r="D55" s="204">
        <f>SUM(C56:C69)</f>
        <v>3785622.6300000004</v>
      </c>
      <c r="E55" s="195"/>
      <c r="G55" s="332"/>
    </row>
    <row r="56" spans="1:7" s="173" customFormat="1" x14ac:dyDescent="0.25">
      <c r="A56" s="244"/>
      <c r="B56" s="174" t="s">
        <v>350</v>
      </c>
      <c r="C56" s="265">
        <f>SUM(C4)*0.05</f>
        <v>2500</v>
      </c>
      <c r="D56" s="236"/>
    </row>
    <row r="57" spans="1:7" s="173" customFormat="1" x14ac:dyDescent="0.25">
      <c r="A57" s="244"/>
      <c r="B57" s="174" t="s">
        <v>438</v>
      </c>
      <c r="C57" s="265">
        <f>SUM(C6:C7)*0.05</f>
        <v>5000</v>
      </c>
      <c r="D57" s="236"/>
    </row>
    <row r="58" spans="1:7" s="173" customFormat="1" x14ac:dyDescent="0.25">
      <c r="A58" s="244"/>
      <c r="B58" s="174" t="s">
        <v>353</v>
      </c>
      <c r="C58" s="265">
        <f>SUM(C5)*0.27</f>
        <v>4050.0000000000005</v>
      </c>
      <c r="D58" s="236"/>
    </row>
    <row r="59" spans="1:7" s="173" customFormat="1" ht="30" x14ac:dyDescent="0.25">
      <c r="A59" s="244"/>
      <c r="B59" s="174" t="s">
        <v>433</v>
      </c>
      <c r="C59" s="265">
        <f>SUM(C8)*0.27</f>
        <v>8100.0000000000009</v>
      </c>
      <c r="D59" s="236"/>
    </row>
    <row r="60" spans="1:7" s="173" customFormat="1" x14ac:dyDescent="0.25">
      <c r="A60" s="244"/>
      <c r="B60" s="174" t="s">
        <v>354</v>
      </c>
      <c r="C60" s="265">
        <f>SUM(C10:C17)*0.27</f>
        <v>639900</v>
      </c>
      <c r="D60" s="236"/>
    </row>
    <row r="61" spans="1:7" s="173" customFormat="1" x14ac:dyDescent="0.25">
      <c r="A61" s="244"/>
      <c r="B61" s="174" t="s">
        <v>434</v>
      </c>
      <c r="C61" s="265">
        <f>SUM(C20)*0.05</f>
        <v>5880</v>
      </c>
      <c r="D61" s="236"/>
    </row>
    <row r="62" spans="1:7" s="173" customFormat="1" x14ac:dyDescent="0.25">
      <c r="A62" s="244"/>
      <c r="B62" s="174" t="s">
        <v>435</v>
      </c>
      <c r="C62" s="265">
        <f>SUM(C22)*0.27</f>
        <v>0</v>
      </c>
      <c r="D62" s="236"/>
    </row>
    <row r="63" spans="1:7" s="173" customFormat="1" x14ac:dyDescent="0.25">
      <c r="A63" s="244"/>
      <c r="B63" s="174" t="s">
        <v>439</v>
      </c>
      <c r="C63" s="265">
        <f>SUM(C23)*0.27</f>
        <v>32400.000000000004</v>
      </c>
      <c r="D63" s="236"/>
    </row>
    <row r="64" spans="1:7" s="173" customFormat="1" x14ac:dyDescent="0.25">
      <c r="A64" s="244"/>
      <c r="B64" s="174" t="s">
        <v>436</v>
      </c>
      <c r="C64" s="265">
        <f>SUM(C26)*0.27</f>
        <v>78408</v>
      </c>
      <c r="D64" s="236"/>
    </row>
    <row r="65" spans="1:5" s="173" customFormat="1" x14ac:dyDescent="0.25">
      <c r="A65" s="244"/>
      <c r="B65" s="174" t="s">
        <v>440</v>
      </c>
      <c r="C65" s="265">
        <f>SUM(C25)*0.27</f>
        <v>2160</v>
      </c>
      <c r="D65" s="268"/>
    </row>
    <row r="66" spans="1:5" s="173" customFormat="1" x14ac:dyDescent="0.25">
      <c r="A66" s="244"/>
      <c r="B66" s="174" t="s">
        <v>371</v>
      </c>
      <c r="C66" s="265">
        <f>SUM(C29:C31)*0.27</f>
        <v>2491524.6300000004</v>
      </c>
      <c r="D66" s="268"/>
    </row>
    <row r="67" spans="1:5" s="173" customFormat="1" x14ac:dyDescent="0.25">
      <c r="A67" s="244"/>
      <c r="B67" s="174" t="s">
        <v>437</v>
      </c>
      <c r="C67" s="265">
        <f>SUM(C33)*0.27</f>
        <v>13500</v>
      </c>
      <c r="D67" s="268"/>
    </row>
    <row r="68" spans="1:5" s="173" customFormat="1" x14ac:dyDescent="0.25">
      <c r="A68" s="244"/>
      <c r="B68" s="174" t="s">
        <v>389</v>
      </c>
      <c r="C68" s="265">
        <f>SUM(C35:C38)*0.27</f>
        <v>399600</v>
      </c>
      <c r="D68" s="268"/>
    </row>
    <row r="69" spans="1:5" s="173" customFormat="1" x14ac:dyDescent="0.25">
      <c r="A69" s="244"/>
      <c r="B69" s="174" t="s">
        <v>372</v>
      </c>
      <c r="C69" s="265">
        <f>SUM(C46:C49)*0.27</f>
        <v>102600</v>
      </c>
      <c r="D69" s="268"/>
    </row>
    <row r="70" spans="1:5" s="176" customFormat="1" x14ac:dyDescent="0.25">
      <c r="A70" s="245" t="s">
        <v>107</v>
      </c>
      <c r="B70" s="205" t="s">
        <v>348</v>
      </c>
      <c r="C70" s="214"/>
      <c r="D70" s="204">
        <f>SUM(C71)</f>
        <v>1000</v>
      </c>
      <c r="E70" s="195"/>
    </row>
    <row r="71" spans="1:5" ht="30" x14ac:dyDescent="0.25">
      <c r="A71" s="308"/>
      <c r="B71" s="174" t="s">
        <v>349</v>
      </c>
      <c r="C71" s="171">
        <v>1000</v>
      </c>
      <c r="D71" s="199"/>
      <c r="E71" s="35"/>
    </row>
    <row r="72" spans="1:5" s="176" customFormat="1" x14ac:dyDescent="0.25">
      <c r="A72" s="411"/>
      <c r="B72" s="412" t="s">
        <v>347</v>
      </c>
      <c r="C72" s="412"/>
      <c r="D72" s="208">
        <f>SUM(D55:D71)</f>
        <v>3786622.6300000004</v>
      </c>
      <c r="E72" s="195"/>
    </row>
    <row r="73" spans="1:5" x14ac:dyDescent="0.25">
      <c r="A73" s="668" t="s">
        <v>110</v>
      </c>
      <c r="B73" s="614"/>
      <c r="C73" s="158"/>
      <c r="D73" s="200">
        <f>SUM(D72,D54,D50,D27,D18)</f>
        <v>19263491.630000003</v>
      </c>
      <c r="E73" s="22"/>
    </row>
    <row r="74" spans="1:5" s="176" customFormat="1" x14ac:dyDescent="0.25">
      <c r="A74" s="245" t="s">
        <v>111</v>
      </c>
      <c r="B74" s="205" t="s">
        <v>205</v>
      </c>
      <c r="C74" s="214"/>
      <c r="D74" s="204">
        <f>SUM(C75:C76)</f>
        <v>820000</v>
      </c>
      <c r="E74" s="195"/>
    </row>
    <row r="75" spans="1:5" s="173" customFormat="1" ht="34.5" customHeight="1" x14ac:dyDescent="0.25">
      <c r="A75" s="244"/>
      <c r="B75" s="284" t="s">
        <v>566</v>
      </c>
      <c r="C75" s="265">
        <v>400000</v>
      </c>
      <c r="D75" s="236"/>
    </row>
    <row r="76" spans="1:5" s="173" customFormat="1" ht="30" customHeight="1" x14ac:dyDescent="0.25">
      <c r="A76" s="244"/>
      <c r="B76" s="284" t="s">
        <v>567</v>
      </c>
      <c r="C76" s="265">
        <v>420000</v>
      </c>
      <c r="D76" s="236"/>
    </row>
    <row r="77" spans="1:5" s="176" customFormat="1" x14ac:dyDescent="0.25">
      <c r="A77" s="245" t="s">
        <v>113</v>
      </c>
      <c r="B77" s="221" t="s">
        <v>114</v>
      </c>
      <c r="C77" s="214"/>
      <c r="D77" s="204">
        <f>SUM(C78:C79)</f>
        <v>221400</v>
      </c>
      <c r="E77" s="195"/>
    </row>
    <row r="78" spans="1:5" s="176" customFormat="1" ht="30" x14ac:dyDescent="0.25">
      <c r="A78" s="245"/>
      <c r="B78" s="174" t="s">
        <v>533</v>
      </c>
      <c r="C78" s="265">
        <f>SUM(C75)*0.27</f>
        <v>108000</v>
      </c>
      <c r="D78" s="204"/>
      <c r="E78" s="195"/>
    </row>
    <row r="79" spans="1:5" s="176" customFormat="1" x14ac:dyDescent="0.25">
      <c r="A79" s="245"/>
      <c r="B79" s="174" t="s">
        <v>441</v>
      </c>
      <c r="C79" s="265">
        <f>SUM(C76)*0.27</f>
        <v>113400.00000000001</v>
      </c>
      <c r="D79" s="204"/>
      <c r="E79" s="195"/>
    </row>
    <row r="80" spans="1:5" x14ac:dyDescent="0.25">
      <c r="A80" s="668" t="s">
        <v>115</v>
      </c>
      <c r="B80" s="614"/>
      <c r="C80" s="158"/>
      <c r="D80" s="200">
        <f>SUM(D74:D79)</f>
        <v>1041400</v>
      </c>
      <c r="E80" s="22"/>
    </row>
    <row r="81" spans="1:5" s="176" customFormat="1" x14ac:dyDescent="0.25">
      <c r="A81" s="245" t="s">
        <v>116</v>
      </c>
      <c r="B81" s="266" t="s">
        <v>442</v>
      </c>
      <c r="C81" s="214"/>
      <c r="D81" s="204">
        <f>SUM(C82)</f>
        <v>850000</v>
      </c>
      <c r="E81" s="195"/>
    </row>
    <row r="82" spans="1:5" s="173" customFormat="1" x14ac:dyDescent="0.25">
      <c r="A82" s="272"/>
      <c r="B82" s="501" t="s">
        <v>568</v>
      </c>
      <c r="C82" s="265">
        <v>850000</v>
      </c>
      <c r="D82" s="269"/>
    </row>
    <row r="83" spans="1:5" s="176" customFormat="1" x14ac:dyDescent="0.25">
      <c r="A83" s="245" t="s">
        <v>118</v>
      </c>
      <c r="B83" s="266" t="s">
        <v>310</v>
      </c>
      <c r="C83" s="214"/>
      <c r="D83" s="204">
        <f>SUM(C84)</f>
        <v>229500.00000000003</v>
      </c>
      <c r="E83" s="195"/>
    </row>
    <row r="84" spans="1:5" s="173" customFormat="1" x14ac:dyDescent="0.25">
      <c r="A84" s="272"/>
      <c r="B84" s="267" t="s">
        <v>662</v>
      </c>
      <c r="C84" s="265">
        <f>SUM(C82)*0.27</f>
        <v>229500.00000000003</v>
      </c>
      <c r="D84" s="269"/>
    </row>
    <row r="85" spans="1:5" ht="15.75" thickBot="1" x14ac:dyDescent="0.3">
      <c r="A85" s="713" t="s">
        <v>120</v>
      </c>
      <c r="B85" s="714"/>
      <c r="C85" s="270"/>
      <c r="D85" s="202">
        <f>SUM(D81:D84)</f>
        <v>1079500</v>
      </c>
      <c r="E85" s="22"/>
    </row>
    <row r="86" spans="1:5" s="194" customFormat="1" ht="18" thickBot="1" x14ac:dyDescent="0.35">
      <c r="A86" s="655" t="s">
        <v>423</v>
      </c>
      <c r="B86" s="656"/>
      <c r="C86" s="311">
        <f>SUM(C3:C85)</f>
        <v>21384391.629999999</v>
      </c>
      <c r="D86" s="271">
        <f>SUM(D85,D80,D73)</f>
        <v>21384391.630000003</v>
      </c>
    </row>
    <row r="87" spans="1:5" ht="15.75" x14ac:dyDescent="0.25">
      <c r="A87" s="61"/>
      <c r="B87" s="61"/>
      <c r="C87" s="61"/>
      <c r="D87" s="169"/>
      <c r="E87" s="3"/>
    </row>
    <row r="88" spans="1:5" ht="15.75" x14ac:dyDescent="0.25">
      <c r="A88" s="61"/>
      <c r="B88" s="61"/>
      <c r="C88" s="61"/>
      <c r="D88" s="169"/>
      <c r="E88" s="3"/>
    </row>
    <row r="89" spans="1:5" ht="15.75" x14ac:dyDescent="0.25">
      <c r="A89" s="61"/>
      <c r="B89" s="61"/>
      <c r="C89" s="61"/>
      <c r="D89" s="169"/>
      <c r="E89" s="3"/>
    </row>
  </sheetData>
  <mergeCells count="12">
    <mergeCell ref="G40:L40"/>
    <mergeCell ref="G43:L43"/>
    <mergeCell ref="G44:L44"/>
    <mergeCell ref="B2:C2"/>
    <mergeCell ref="F11:G11"/>
    <mergeCell ref="E44:F44"/>
    <mergeCell ref="I11:L11"/>
    <mergeCell ref="A1:D1"/>
    <mergeCell ref="A86:B86"/>
    <mergeCell ref="A73:B73"/>
    <mergeCell ref="A80:B80"/>
    <mergeCell ref="A85:B85"/>
  </mergeCells>
  <phoneticPr fontId="37" type="noConversion"/>
  <printOptions horizontalCentered="1"/>
  <pageMargins left="0.59055118110236227" right="0.55118110236220474" top="0.9055118110236221" bottom="0.82677165354330717" header="0.31496062992125984" footer="0.31496062992125984"/>
  <pageSetup paperSize="9" scale="87" orientation="portrait" r:id="rId1"/>
  <headerFooter>
    <oddHeader>&amp;C2023. évi költségvetés - tervezet 
Gyermeklánc Óvoda</oddHeader>
  </headerFooter>
  <rowBreaks count="1" manualBreakCount="1">
    <brk id="4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38"/>
  <sheetViews>
    <sheetView showRuler="0" view="pageBreakPreview" topLeftCell="A107" zoomScaleNormal="100" zoomScaleSheetLayoutView="100" workbookViewId="0">
      <selection activeCell="A63" sqref="A63:XFD63"/>
    </sheetView>
  </sheetViews>
  <sheetFormatPr defaultRowHeight="15" x14ac:dyDescent="0.25"/>
  <cols>
    <col min="1" max="1" width="9.140625" style="177"/>
    <col min="2" max="2" width="59.42578125" customWidth="1"/>
    <col min="3" max="3" width="20.28515625" style="211" customWidth="1"/>
    <col min="4" max="4" width="19" style="153" customWidth="1"/>
    <col min="7" max="7" width="13.7109375" bestFit="1" customWidth="1"/>
    <col min="9" max="9" width="12.5703125" bestFit="1" customWidth="1"/>
  </cols>
  <sheetData>
    <row r="1" spans="1:11" s="198" customFormat="1" ht="18.75" x14ac:dyDescent="0.3">
      <c r="A1" s="724" t="s">
        <v>334</v>
      </c>
      <c r="B1" s="724"/>
      <c r="C1" s="724"/>
      <c r="D1" s="724"/>
      <c r="E1" s="380"/>
      <c r="F1" s="380"/>
      <c r="G1" s="380"/>
      <c r="H1" s="380"/>
      <c r="I1" s="380"/>
      <c r="J1" s="380"/>
      <c r="K1" s="380"/>
    </row>
    <row r="2" spans="1:11" ht="15.75" customHeight="1" thickBot="1" x14ac:dyDescent="0.3">
      <c r="A2" s="732"/>
      <c r="B2" s="732"/>
      <c r="C2" s="732"/>
      <c r="D2" s="732"/>
      <c r="E2" s="377"/>
      <c r="F2" s="377"/>
      <c r="G2" s="377"/>
      <c r="H2" s="377"/>
      <c r="I2" s="377"/>
      <c r="J2" s="377"/>
      <c r="K2" s="377"/>
    </row>
    <row r="3" spans="1:11" ht="15.75" thickBot="1" x14ac:dyDescent="0.3">
      <c r="A3" s="241" t="s">
        <v>2</v>
      </c>
      <c r="B3" s="671" t="s">
        <v>3</v>
      </c>
      <c r="C3" s="672"/>
      <c r="D3" s="242" t="s">
        <v>4</v>
      </c>
      <c r="E3" s="381"/>
      <c r="F3" s="377"/>
      <c r="G3" s="377"/>
      <c r="H3" s="377"/>
      <c r="I3" s="377"/>
      <c r="J3" s="377"/>
      <c r="K3" s="377"/>
    </row>
    <row r="4" spans="1:11" s="224" customFormat="1" ht="15" customHeight="1" x14ac:dyDescent="0.25">
      <c r="A4" s="448" t="s">
        <v>5</v>
      </c>
      <c r="B4" s="449" t="s">
        <v>461</v>
      </c>
      <c r="C4" s="450"/>
      <c r="D4" s="451">
        <f>SUM(C5:C50)</f>
        <v>31676665</v>
      </c>
      <c r="E4" s="382"/>
      <c r="F4" s="382"/>
      <c r="G4" s="382"/>
      <c r="H4" s="382"/>
      <c r="I4" s="382"/>
      <c r="J4" s="382"/>
      <c r="K4" s="382"/>
    </row>
    <row r="5" spans="1:11" s="52" customFormat="1" ht="15" customHeight="1" x14ac:dyDescent="0.25">
      <c r="A5" s="218"/>
      <c r="B5" s="370" t="s">
        <v>363</v>
      </c>
      <c r="C5" s="227"/>
      <c r="D5" s="219"/>
      <c r="E5" s="383"/>
      <c r="F5" s="383"/>
      <c r="G5" s="383"/>
      <c r="H5" s="383"/>
      <c r="I5" s="383"/>
      <c r="J5" s="383"/>
      <c r="K5" s="383"/>
    </row>
    <row r="6" spans="1:11" s="286" customFormat="1" ht="15" customHeight="1" x14ac:dyDescent="0.25">
      <c r="A6" s="453"/>
      <c r="B6" s="375" t="s">
        <v>642</v>
      </c>
      <c r="C6" s="389">
        <v>328860</v>
      </c>
      <c r="D6" s="454"/>
      <c r="E6" s="384"/>
      <c r="F6" s="384"/>
      <c r="G6" s="385"/>
      <c r="H6" s="384"/>
      <c r="I6" s="384"/>
      <c r="J6" s="384"/>
      <c r="K6" s="384"/>
    </row>
    <row r="7" spans="1:11" s="286" customFormat="1" ht="15" customHeight="1" x14ac:dyDescent="0.25">
      <c r="A7" s="453"/>
      <c r="B7" s="375" t="s">
        <v>643</v>
      </c>
      <c r="C7" s="389">
        <f>328860*11</f>
        <v>3617460</v>
      </c>
      <c r="D7" s="454"/>
      <c r="E7" s="384"/>
      <c r="F7" s="384"/>
      <c r="G7" s="384"/>
      <c r="H7" s="384"/>
      <c r="I7" s="385"/>
      <c r="J7" s="384"/>
      <c r="K7" s="386"/>
    </row>
    <row r="8" spans="1:11" s="286" customFormat="1" ht="9.75" customHeight="1" x14ac:dyDescent="0.25">
      <c r="A8" s="453"/>
      <c r="B8" s="375"/>
      <c r="C8" s="389"/>
      <c r="D8" s="454"/>
      <c r="E8" s="384"/>
      <c r="F8" s="384"/>
      <c r="G8" s="384"/>
      <c r="H8" s="384"/>
      <c r="I8" s="384"/>
      <c r="J8" s="384"/>
      <c r="K8" s="384"/>
    </row>
    <row r="9" spans="1:11" s="52" customFormat="1" ht="28.5" customHeight="1" x14ac:dyDescent="0.25">
      <c r="A9" s="218"/>
      <c r="B9" s="370" t="s">
        <v>644</v>
      </c>
      <c r="C9" s="227"/>
      <c r="D9" s="219"/>
      <c r="E9" s="383"/>
      <c r="F9" s="383"/>
      <c r="G9" s="383"/>
      <c r="H9" s="383"/>
      <c r="I9" s="383"/>
      <c r="J9" s="383"/>
      <c r="K9" s="383"/>
    </row>
    <row r="10" spans="1:11" s="52" customFormat="1" ht="15" customHeight="1" x14ac:dyDescent="0.25">
      <c r="A10" s="218"/>
      <c r="B10" s="375" t="s">
        <v>645</v>
      </c>
      <c r="C10" s="227">
        <f>260000*3</f>
        <v>780000</v>
      </c>
      <c r="D10" s="219"/>
      <c r="E10" s="383"/>
      <c r="F10" s="383"/>
      <c r="G10" s="387"/>
      <c r="H10" s="383"/>
      <c r="I10" s="387"/>
      <c r="J10" s="383"/>
      <c r="K10" s="386"/>
    </row>
    <row r="11" spans="1:11" s="286" customFormat="1" ht="15" customHeight="1" x14ac:dyDescent="0.25">
      <c r="A11" s="453"/>
      <c r="B11" s="375" t="s">
        <v>646</v>
      </c>
      <c r="C11" s="389">
        <f>296400*3*11</f>
        <v>9781200</v>
      </c>
      <c r="D11" s="454"/>
      <c r="E11" s="384"/>
      <c r="F11" s="384"/>
      <c r="G11" s="384"/>
      <c r="H11" s="384"/>
      <c r="I11" s="384"/>
      <c r="J11" s="384"/>
      <c r="K11" s="384"/>
    </row>
    <row r="12" spans="1:11" s="286" customFormat="1" ht="9.75" customHeight="1" x14ac:dyDescent="0.25">
      <c r="A12" s="453"/>
      <c r="B12" s="375"/>
      <c r="C12" s="389"/>
      <c r="D12" s="454"/>
      <c r="E12" s="384"/>
      <c r="F12" s="384"/>
      <c r="G12" s="384"/>
      <c r="H12" s="384"/>
      <c r="I12" s="384"/>
      <c r="J12" s="384"/>
      <c r="K12" s="384"/>
    </row>
    <row r="13" spans="1:11" s="52" customFormat="1" ht="15" customHeight="1" x14ac:dyDescent="0.25">
      <c r="A13" s="218"/>
      <c r="B13" s="370" t="s">
        <v>647</v>
      </c>
      <c r="C13" s="227"/>
      <c r="D13" s="219"/>
      <c r="E13" s="383"/>
      <c r="F13" s="383"/>
      <c r="G13" s="383"/>
      <c r="H13" s="383"/>
      <c r="I13" s="387"/>
      <c r="J13" s="383"/>
      <c r="K13" s="383"/>
    </row>
    <row r="14" spans="1:11" s="286" customFormat="1" ht="15" customHeight="1" x14ac:dyDescent="0.25">
      <c r="A14" s="453"/>
      <c r="B14" s="375" t="s">
        <v>648</v>
      </c>
      <c r="C14" s="227">
        <f>260000*2</f>
        <v>520000</v>
      </c>
      <c r="D14" s="454"/>
      <c r="G14" s="397"/>
      <c r="H14" s="398"/>
      <c r="I14" s="397"/>
    </row>
    <row r="15" spans="1:11" s="286" customFormat="1" ht="15" customHeight="1" x14ac:dyDescent="0.25">
      <c r="A15" s="453"/>
      <c r="B15" s="375" t="s">
        <v>649</v>
      </c>
      <c r="C15" s="389">
        <f>296400*2*11</f>
        <v>6520800</v>
      </c>
      <c r="D15" s="454"/>
    </row>
    <row r="16" spans="1:11" s="286" customFormat="1" ht="15" customHeight="1" x14ac:dyDescent="0.25">
      <c r="A16" s="453"/>
      <c r="B16" s="375"/>
      <c r="C16" s="389"/>
      <c r="D16" s="454"/>
    </row>
    <row r="17" spans="1:10" s="286" customFormat="1" ht="15" customHeight="1" x14ac:dyDescent="0.25">
      <c r="A17" s="453"/>
      <c r="B17" s="375" t="s">
        <v>765</v>
      </c>
      <c r="C17" s="389"/>
      <c r="D17" s="454"/>
      <c r="F17" s="744"/>
      <c r="G17" s="744"/>
      <c r="H17" s="744"/>
      <c r="I17" s="744"/>
    </row>
    <row r="18" spans="1:10" s="286" customFormat="1" ht="15" customHeight="1" x14ac:dyDescent="0.25">
      <c r="A18" s="453"/>
      <c r="B18" s="375" t="s">
        <v>757</v>
      </c>
      <c r="C18" s="389">
        <f>(74100*11)+(74100*2)</f>
        <v>963300</v>
      </c>
      <c r="D18" s="454"/>
      <c r="F18" s="744"/>
      <c r="G18" s="744"/>
      <c r="H18" s="744"/>
      <c r="I18" s="744"/>
    </row>
    <row r="19" spans="1:10" s="286" customFormat="1" ht="15" customHeight="1" x14ac:dyDescent="0.25">
      <c r="A19" s="453"/>
      <c r="B19" s="375"/>
      <c r="C19" s="389"/>
      <c r="D19" s="454"/>
      <c r="F19" s="744"/>
      <c r="G19" s="744"/>
      <c r="H19" s="744"/>
      <c r="I19" s="744"/>
    </row>
    <row r="20" spans="1:10" s="286" customFormat="1" ht="15" customHeight="1" x14ac:dyDescent="0.25">
      <c r="A20" s="453"/>
      <c r="B20" s="375" t="s">
        <v>756</v>
      </c>
      <c r="C20" s="389"/>
      <c r="D20" s="454"/>
      <c r="F20" s="744"/>
      <c r="G20" s="744"/>
      <c r="H20" s="744"/>
      <c r="I20" s="744"/>
    </row>
    <row r="21" spans="1:10" s="286" customFormat="1" ht="15" customHeight="1" x14ac:dyDescent="0.25">
      <c r="A21" s="453"/>
      <c r="B21" s="375" t="s">
        <v>766</v>
      </c>
      <c r="C21" s="389">
        <f>(1300*11)+(1300*2)</f>
        <v>16900</v>
      </c>
      <c r="D21" s="454"/>
      <c r="F21" s="744"/>
      <c r="G21" s="744"/>
      <c r="H21" s="744"/>
      <c r="I21" s="744"/>
    </row>
    <row r="22" spans="1:10" s="286" customFormat="1" ht="15" customHeight="1" x14ac:dyDescent="0.25">
      <c r="A22" s="453"/>
      <c r="B22" s="375"/>
      <c r="C22" s="389"/>
      <c r="D22" s="454"/>
      <c r="F22" s="755"/>
      <c r="G22" s="756"/>
      <c r="H22" s="756"/>
      <c r="I22" s="756"/>
      <c r="J22" s="757"/>
    </row>
    <row r="23" spans="1:10" x14ac:dyDescent="0.25">
      <c r="A23" s="218"/>
      <c r="B23" s="370" t="s">
        <v>793</v>
      </c>
      <c r="C23" s="227"/>
      <c r="D23" s="219"/>
    </row>
    <row r="24" spans="1:10" s="52" customFormat="1" ht="29.25" customHeight="1" x14ac:dyDescent="0.25">
      <c r="A24" s="218"/>
      <c r="B24" s="370" t="s">
        <v>650</v>
      </c>
      <c r="C24" s="227"/>
      <c r="D24" s="219"/>
      <c r="G24" s="51"/>
    </row>
    <row r="25" spans="1:10" s="286" customFormat="1" ht="15" customHeight="1" x14ac:dyDescent="0.25">
      <c r="A25" s="453"/>
      <c r="B25" s="375" t="s">
        <v>767</v>
      </c>
      <c r="C25" s="389">
        <v>137639</v>
      </c>
      <c r="D25" s="454"/>
    </row>
    <row r="26" spans="1:10" s="286" customFormat="1" ht="15" customHeight="1" x14ac:dyDescent="0.25">
      <c r="A26" s="453"/>
      <c r="B26" s="375" t="s">
        <v>651</v>
      </c>
      <c r="C26" s="389">
        <f>137639*11</f>
        <v>1514029</v>
      </c>
      <c r="D26" s="454"/>
    </row>
    <row r="27" spans="1:10" s="286" customFormat="1" ht="9.75" customHeight="1" x14ac:dyDescent="0.25">
      <c r="A27" s="453"/>
      <c r="B27" s="375"/>
      <c r="C27" s="389"/>
      <c r="D27" s="454"/>
    </row>
    <row r="28" spans="1:10" s="52" customFormat="1" ht="29.25" customHeight="1" x14ac:dyDescent="0.25">
      <c r="A28" s="218"/>
      <c r="B28" s="370" t="s">
        <v>652</v>
      </c>
      <c r="C28" s="227"/>
      <c r="D28" s="219"/>
    </row>
    <row r="29" spans="1:10" s="286" customFormat="1" ht="15" customHeight="1" x14ac:dyDescent="0.25">
      <c r="A29" s="453"/>
      <c r="B29" s="375" t="s">
        <v>666</v>
      </c>
      <c r="C29" s="389">
        <f>84888+81816+77592</f>
        <v>244296</v>
      </c>
      <c r="D29" s="454"/>
    </row>
    <row r="30" spans="1:10" s="286" customFormat="1" ht="15" customHeight="1" x14ac:dyDescent="0.25">
      <c r="A30" s="453"/>
      <c r="B30" s="375" t="s">
        <v>653</v>
      </c>
      <c r="C30" s="389">
        <f>(91812+89700+80280)*11</f>
        <v>2879712</v>
      </c>
      <c r="D30" s="454"/>
    </row>
    <row r="31" spans="1:10" s="286" customFormat="1" ht="16.5" customHeight="1" x14ac:dyDescent="0.25">
      <c r="A31" s="453"/>
      <c r="B31" s="375"/>
      <c r="C31" s="389"/>
      <c r="D31" s="454"/>
    </row>
    <row r="32" spans="1:10" s="52" customFormat="1" ht="20.25" customHeight="1" x14ac:dyDescent="0.25">
      <c r="A32" s="218"/>
      <c r="B32" s="370" t="s">
        <v>654</v>
      </c>
      <c r="C32" s="227"/>
      <c r="D32" s="219"/>
    </row>
    <row r="33" spans="1:11" s="286" customFormat="1" ht="15" customHeight="1" x14ac:dyDescent="0.25">
      <c r="A33" s="453"/>
      <c r="B33" s="375" t="s">
        <v>667</v>
      </c>
      <c r="C33" s="389">
        <f>96996*2</f>
        <v>193992</v>
      </c>
      <c r="D33" s="454"/>
    </row>
    <row r="34" spans="1:11" s="286" customFormat="1" ht="15" customHeight="1" x14ac:dyDescent="0.25">
      <c r="A34" s="453"/>
      <c r="B34" s="375" t="s">
        <v>768</v>
      </c>
      <c r="C34" s="389">
        <f>(144060+96996)*11</f>
        <v>2651616</v>
      </c>
      <c r="D34" s="454"/>
    </row>
    <row r="35" spans="1:11" s="286" customFormat="1" ht="15" customHeight="1" x14ac:dyDescent="0.25">
      <c r="A35" s="453"/>
      <c r="B35" s="375"/>
      <c r="C35" s="389"/>
      <c r="D35" s="454"/>
    </row>
    <row r="36" spans="1:11" x14ac:dyDescent="0.25">
      <c r="A36" s="218"/>
      <c r="B36" s="370" t="s">
        <v>794</v>
      </c>
      <c r="C36" s="227"/>
      <c r="D36" s="219"/>
    </row>
    <row r="37" spans="1:11" ht="30" x14ac:dyDescent="0.25">
      <c r="A37" s="218"/>
      <c r="B37" s="370" t="s">
        <v>548</v>
      </c>
      <c r="C37" s="227"/>
      <c r="D37" s="219"/>
    </row>
    <row r="38" spans="1:11" s="286" customFormat="1" ht="15" customHeight="1" x14ac:dyDescent="0.25">
      <c r="A38" s="453"/>
      <c r="B38" s="375" t="s">
        <v>546</v>
      </c>
      <c r="C38" s="389"/>
      <c r="D38" s="454"/>
    </row>
    <row r="39" spans="1:11" s="286" customFormat="1" ht="15" customHeight="1" x14ac:dyDescent="0.25">
      <c r="A39" s="453"/>
      <c r="B39" s="375" t="s">
        <v>547</v>
      </c>
      <c r="C39" s="389">
        <f>14*8*567</f>
        <v>63504</v>
      </c>
      <c r="D39" s="454"/>
    </row>
    <row r="40" spans="1:11" s="286" customFormat="1" ht="15" customHeight="1" x14ac:dyDescent="0.25">
      <c r="A40" s="453"/>
      <c r="B40" s="375"/>
      <c r="C40" s="389"/>
      <c r="D40" s="454"/>
    </row>
    <row r="41" spans="1:11" ht="30" x14ac:dyDescent="0.25">
      <c r="A41" s="218"/>
      <c r="B41" s="370" t="s">
        <v>795</v>
      </c>
      <c r="C41" s="227"/>
      <c r="D41" s="219"/>
    </row>
    <row r="42" spans="1:11" s="52" customFormat="1" ht="58.5" customHeight="1" x14ac:dyDescent="0.25">
      <c r="A42" s="218"/>
      <c r="B42" s="370" t="s">
        <v>655</v>
      </c>
      <c r="C42" s="227"/>
      <c r="D42" s="219"/>
      <c r="G42" s="51"/>
    </row>
    <row r="43" spans="1:11" s="286" customFormat="1" ht="15" customHeight="1" x14ac:dyDescent="0.25">
      <c r="A43" s="453"/>
      <c r="B43" s="375" t="s">
        <v>656</v>
      </c>
      <c r="C43" s="389">
        <v>65772</v>
      </c>
      <c r="D43" s="454"/>
      <c r="F43" s="733"/>
      <c r="G43" s="734"/>
      <c r="H43" s="734"/>
      <c r="I43" s="734"/>
      <c r="J43" s="734"/>
      <c r="K43" s="735"/>
    </row>
    <row r="44" spans="1:11" s="286" customFormat="1" ht="15" customHeight="1" x14ac:dyDescent="0.25">
      <c r="A44" s="453"/>
      <c r="B44" s="375" t="s">
        <v>796</v>
      </c>
      <c r="C44" s="389">
        <f>105235*11</f>
        <v>1157585</v>
      </c>
      <c r="D44" s="454"/>
      <c r="F44" s="736"/>
      <c r="G44" s="737"/>
      <c r="H44" s="737"/>
      <c r="I44" s="737"/>
      <c r="J44" s="737"/>
      <c r="K44" s="738"/>
    </row>
    <row r="45" spans="1:11" s="286" customFormat="1" ht="15" customHeight="1" x14ac:dyDescent="0.25">
      <c r="A45" s="453"/>
      <c r="B45" s="375"/>
      <c r="C45" s="389"/>
      <c r="D45" s="454"/>
      <c r="F45" s="702"/>
      <c r="G45" s="702"/>
      <c r="H45" s="702"/>
      <c r="I45" s="702"/>
      <c r="J45" s="702"/>
    </row>
    <row r="46" spans="1:11" ht="15.75" customHeight="1" x14ac:dyDescent="0.25">
      <c r="A46" s="218"/>
      <c r="B46" s="376" t="s">
        <v>455</v>
      </c>
      <c r="C46" s="227"/>
      <c r="D46" s="219"/>
      <c r="G46" s="18"/>
    </row>
    <row r="47" spans="1:11" s="287" customFormat="1" ht="29.25" customHeight="1" x14ac:dyDescent="0.25">
      <c r="A47" s="218"/>
      <c r="B47" s="370" t="s">
        <v>456</v>
      </c>
      <c r="C47" s="389"/>
      <c r="D47" s="219"/>
    </row>
    <row r="48" spans="1:11" x14ac:dyDescent="0.25">
      <c r="A48" s="218"/>
      <c r="B48" s="370" t="s">
        <v>457</v>
      </c>
      <c r="C48" s="389"/>
      <c r="D48" s="219"/>
      <c r="F48" s="739"/>
      <c r="G48" s="739"/>
      <c r="H48" s="739"/>
      <c r="I48" s="739"/>
      <c r="J48" s="739"/>
      <c r="K48" s="739"/>
    </row>
    <row r="49" spans="1:11" x14ac:dyDescent="0.25">
      <c r="A49" s="218"/>
      <c r="B49" s="375" t="s">
        <v>657</v>
      </c>
      <c r="C49" s="389">
        <v>20000</v>
      </c>
      <c r="D49" s="219"/>
      <c r="F49" s="739"/>
      <c r="G49" s="739"/>
      <c r="H49" s="739"/>
      <c r="I49" s="739"/>
      <c r="J49" s="739"/>
      <c r="K49" s="739"/>
    </row>
    <row r="50" spans="1:11" x14ac:dyDescent="0.25">
      <c r="A50" s="218"/>
      <c r="B50" s="375" t="s">
        <v>745</v>
      </c>
      <c r="C50" s="389">
        <f>20000*11</f>
        <v>220000</v>
      </c>
      <c r="D50" s="219"/>
      <c r="F50" s="751"/>
      <c r="G50" s="751"/>
    </row>
    <row r="51" spans="1:11" x14ac:dyDescent="0.25">
      <c r="A51" s="218"/>
      <c r="B51" s="462"/>
      <c r="C51" s="389"/>
      <c r="D51" s="219"/>
    </row>
    <row r="52" spans="1:11" s="286" customFormat="1" ht="15" customHeight="1" x14ac:dyDescent="0.25">
      <c r="A52" s="464" t="s">
        <v>12</v>
      </c>
      <c r="B52" s="449" t="s">
        <v>470</v>
      </c>
      <c r="C52" s="389"/>
      <c r="D52" s="460">
        <f>SUM(C53)</f>
        <v>0</v>
      </c>
    </row>
    <row r="53" spans="1:11" s="305" customFormat="1" ht="15" customHeight="1" x14ac:dyDescent="0.25">
      <c r="A53" s="453"/>
      <c r="B53" s="370" t="s">
        <v>658</v>
      </c>
      <c r="C53" s="389">
        <v>0</v>
      </c>
      <c r="D53" s="454"/>
    </row>
    <row r="54" spans="1:11" x14ac:dyDescent="0.25">
      <c r="A54" s="218"/>
      <c r="B54" s="370"/>
      <c r="C54" s="389"/>
      <c r="D54" s="219"/>
    </row>
    <row r="55" spans="1:11" s="224" customFormat="1" ht="15" customHeight="1" x14ac:dyDescent="0.25">
      <c r="A55" s="468" t="s">
        <v>15</v>
      </c>
      <c r="B55" s="376" t="s">
        <v>365</v>
      </c>
      <c r="C55" s="494"/>
      <c r="D55" s="460">
        <f>SUM(C56:C56)</f>
        <v>72000</v>
      </c>
      <c r="G55" s="18"/>
    </row>
    <row r="56" spans="1:11" s="224" customFormat="1" ht="15" customHeight="1" x14ac:dyDescent="0.25">
      <c r="A56" s="448"/>
      <c r="B56" s="370" t="s">
        <v>659</v>
      </c>
      <c r="C56" s="227">
        <f>6*1000*12</f>
        <v>72000</v>
      </c>
      <c r="D56" s="460"/>
      <c r="G56" s="18"/>
    </row>
    <row r="57" spans="1:11" s="224" customFormat="1" ht="15" customHeight="1" x14ac:dyDescent="0.25">
      <c r="A57" s="587"/>
      <c r="B57" s="588"/>
      <c r="C57" s="589"/>
      <c r="D57" s="460"/>
      <c r="G57" s="18"/>
    </row>
    <row r="58" spans="1:11" s="585" customFormat="1" x14ac:dyDescent="0.25">
      <c r="A58" s="468" t="s">
        <v>18</v>
      </c>
      <c r="B58" s="376" t="s">
        <v>835</v>
      </c>
      <c r="C58" s="452"/>
      <c r="D58" s="460">
        <f>SUM(C59)</f>
        <v>270678</v>
      </c>
      <c r="F58" s="437"/>
      <c r="G58" s="437"/>
      <c r="H58" s="437"/>
      <c r="I58" s="437"/>
      <c r="J58" s="437"/>
      <c r="K58" s="437"/>
    </row>
    <row r="59" spans="1:11" s="302" customFormat="1" x14ac:dyDescent="0.25">
      <c r="A59" s="218"/>
      <c r="B59" s="469" t="s">
        <v>834</v>
      </c>
      <c r="C59" s="389">
        <v>270678</v>
      </c>
      <c r="D59" s="219"/>
      <c r="F59" s="438"/>
      <c r="G59" s="438"/>
      <c r="H59" s="438"/>
      <c r="I59" s="438"/>
      <c r="J59" s="438"/>
      <c r="K59" s="438"/>
    </row>
    <row r="60" spans="1:11" s="224" customFormat="1" ht="15" customHeight="1" x14ac:dyDescent="0.25">
      <c r="A60" s="587"/>
      <c r="B60" s="588"/>
      <c r="C60" s="589"/>
      <c r="D60" s="460"/>
      <c r="G60" s="18"/>
    </row>
    <row r="61" spans="1:11" ht="15" customHeight="1" x14ac:dyDescent="0.25">
      <c r="A61" s="725" t="s">
        <v>23</v>
      </c>
      <c r="B61" s="603"/>
      <c r="C61" s="226"/>
      <c r="D61" s="200">
        <f>SUM(D4:D59)</f>
        <v>32019343</v>
      </c>
      <c r="E61" s="22"/>
      <c r="G61" s="166"/>
    </row>
    <row r="62" spans="1:11" s="224" customFormat="1" ht="15" customHeight="1" x14ac:dyDescent="0.25">
      <c r="A62" s="220" t="s">
        <v>475</v>
      </c>
      <c r="B62" s="221" t="s">
        <v>366</v>
      </c>
      <c r="C62" s="228"/>
      <c r="D62" s="223">
        <v>4212516</v>
      </c>
      <c r="G62" s="289">
        <f>SUM(C64:C66)</f>
        <v>4177326.45</v>
      </c>
    </row>
    <row r="63" spans="1:11" s="585" customFormat="1" x14ac:dyDescent="0.25">
      <c r="A63" s="220"/>
      <c r="B63" s="221" t="s">
        <v>836</v>
      </c>
      <c r="C63" s="303">
        <v>35190</v>
      </c>
      <c r="D63" s="223"/>
      <c r="F63" s="586"/>
      <c r="G63" s="586"/>
      <c r="H63" s="586"/>
      <c r="I63" s="586"/>
      <c r="J63" s="586"/>
      <c r="K63" s="437"/>
    </row>
    <row r="64" spans="1:11" x14ac:dyDescent="0.25">
      <c r="A64" s="203"/>
      <c r="B64" s="154" t="s">
        <v>709</v>
      </c>
      <c r="C64" s="225">
        <f>SUM(C6,C10,C14,C25,C29,C33,C43,C49)*0.13</f>
        <v>297772.67</v>
      </c>
      <c r="D64" s="199"/>
    </row>
    <row r="65" spans="1:7" x14ac:dyDescent="0.25">
      <c r="A65" s="275"/>
      <c r="B65" s="154" t="s">
        <v>710</v>
      </c>
      <c r="C65" s="196">
        <f>SUM(C7,C11,C15,C18,C21,C26,C30,C34,C39,C44,C50,C53,C56)*0.13</f>
        <v>3829553.7800000003</v>
      </c>
      <c r="D65" s="199"/>
    </row>
    <row r="66" spans="1:7" x14ac:dyDescent="0.25">
      <c r="A66" s="275"/>
      <c r="B66" s="154" t="s">
        <v>368</v>
      </c>
      <c r="C66" s="196">
        <v>50000</v>
      </c>
      <c r="D66" s="199"/>
    </row>
    <row r="67" spans="1:7" ht="15" customHeight="1" x14ac:dyDescent="0.25">
      <c r="A67" s="725" t="s">
        <v>369</v>
      </c>
      <c r="B67" s="603"/>
      <c r="C67" s="226"/>
      <c r="D67" s="200">
        <f>SUM(D62:D64)</f>
        <v>4212516</v>
      </c>
      <c r="E67" s="22"/>
    </row>
    <row r="68" spans="1:7" x14ac:dyDescent="0.25">
      <c r="A68" s="502" t="s">
        <v>127</v>
      </c>
      <c r="B68" s="488" t="s">
        <v>128</v>
      </c>
      <c r="C68" s="503"/>
      <c r="D68" s="460">
        <f>SUM(C69:C72)</f>
        <v>100000</v>
      </c>
    </row>
    <row r="69" spans="1:7" x14ac:dyDescent="0.25">
      <c r="A69" s="504"/>
      <c r="B69" s="505" t="s">
        <v>352</v>
      </c>
      <c r="C69" s="491">
        <v>20000</v>
      </c>
      <c r="D69" s="219"/>
    </row>
    <row r="70" spans="1:7" x14ac:dyDescent="0.25">
      <c r="A70" s="504"/>
      <c r="B70" s="505" t="s">
        <v>351</v>
      </c>
      <c r="C70" s="491">
        <v>10000</v>
      </c>
      <c r="D70" s="219"/>
    </row>
    <row r="71" spans="1:7" x14ac:dyDescent="0.25">
      <c r="A71" s="504"/>
      <c r="B71" s="505" t="s">
        <v>315</v>
      </c>
      <c r="C71" s="491">
        <v>10000</v>
      </c>
      <c r="D71" s="219"/>
    </row>
    <row r="72" spans="1:7" x14ac:dyDescent="0.25">
      <c r="A72" s="504"/>
      <c r="B72" s="505" t="s">
        <v>486</v>
      </c>
      <c r="C72" s="461">
        <v>60000</v>
      </c>
      <c r="D72" s="219"/>
    </row>
    <row r="73" spans="1:7" x14ac:dyDescent="0.25">
      <c r="A73" s="487" t="s">
        <v>129</v>
      </c>
      <c r="B73" s="488" t="s">
        <v>130</v>
      </c>
      <c r="C73" s="506"/>
      <c r="D73" s="460">
        <f>SUM(C74:C79)</f>
        <v>554000</v>
      </c>
      <c r="G73" s="377"/>
    </row>
    <row r="74" spans="1:7" x14ac:dyDescent="0.25">
      <c r="A74" s="471"/>
      <c r="B74" s="375" t="s">
        <v>358</v>
      </c>
      <c r="C74" s="491">
        <v>70000</v>
      </c>
      <c r="D74" s="219"/>
    </row>
    <row r="75" spans="1:7" x14ac:dyDescent="0.25">
      <c r="A75" s="471"/>
      <c r="B75" s="472" t="s">
        <v>359</v>
      </c>
      <c r="C75" s="491">
        <v>30000</v>
      </c>
      <c r="D75" s="219"/>
    </row>
    <row r="76" spans="1:7" x14ac:dyDescent="0.25">
      <c r="A76" s="471"/>
      <c r="B76" s="472" t="s">
        <v>569</v>
      </c>
      <c r="C76" s="491">
        <f>6*20000</f>
        <v>120000</v>
      </c>
      <c r="D76" s="219"/>
    </row>
    <row r="77" spans="1:7" x14ac:dyDescent="0.25">
      <c r="A77" s="471"/>
      <c r="B77" s="472" t="s">
        <v>570</v>
      </c>
      <c r="C77" s="491">
        <f>2*12000</f>
        <v>24000</v>
      </c>
      <c r="D77" s="219"/>
    </row>
    <row r="78" spans="1:7" x14ac:dyDescent="0.25">
      <c r="A78" s="471"/>
      <c r="B78" s="472" t="s">
        <v>571</v>
      </c>
      <c r="C78" s="491">
        <f>55000*2</f>
        <v>110000</v>
      </c>
      <c r="D78" s="219"/>
    </row>
    <row r="79" spans="1:7" ht="30.75" customHeight="1" x14ac:dyDescent="0.25">
      <c r="A79" s="471"/>
      <c r="B79" s="455" t="s">
        <v>572</v>
      </c>
      <c r="C79" s="491">
        <v>200000</v>
      </c>
      <c r="D79" s="219"/>
    </row>
    <row r="80" spans="1:7" s="176" customFormat="1" x14ac:dyDescent="0.25">
      <c r="A80" s="206"/>
      <c r="B80" s="207" t="s">
        <v>344</v>
      </c>
      <c r="C80" s="230"/>
      <c r="D80" s="208">
        <f>SUM(D68:D79)</f>
        <v>654000</v>
      </c>
      <c r="E80" s="195"/>
    </row>
    <row r="81" spans="1:11" s="176" customFormat="1" x14ac:dyDescent="0.25">
      <c r="A81" s="307" t="s">
        <v>319</v>
      </c>
      <c r="B81" s="205" t="s">
        <v>320</v>
      </c>
      <c r="C81" s="231"/>
      <c r="D81" s="204">
        <f>SUM(C82:C85)</f>
        <v>230800</v>
      </c>
      <c r="E81" s="728"/>
      <c r="F81" s="729"/>
      <c r="G81" s="729"/>
      <c r="H81" s="729"/>
      <c r="I81" s="729"/>
    </row>
    <row r="82" spans="1:11" x14ac:dyDescent="0.25">
      <c r="A82" s="507"/>
      <c r="B82" s="472" t="s">
        <v>750</v>
      </c>
      <c r="C82" s="491">
        <f>12*5000*2</f>
        <v>120000</v>
      </c>
      <c r="D82" s="219"/>
      <c r="E82" s="35"/>
    </row>
    <row r="83" spans="1:11" x14ac:dyDescent="0.25">
      <c r="A83" s="471"/>
      <c r="B83" s="472" t="s">
        <v>574</v>
      </c>
      <c r="C83" s="491">
        <f>20000*2</f>
        <v>40000</v>
      </c>
      <c r="D83" s="219"/>
    </row>
    <row r="84" spans="1:11" x14ac:dyDescent="0.25">
      <c r="A84" s="471"/>
      <c r="B84" s="472" t="s">
        <v>797</v>
      </c>
      <c r="C84" s="461">
        <f>3900*12</f>
        <v>46800</v>
      </c>
      <c r="D84" s="219"/>
      <c r="E84" s="730"/>
      <c r="F84" s="731"/>
      <c r="G84" s="731"/>
      <c r="H84" s="731"/>
    </row>
    <row r="85" spans="1:11" x14ac:dyDescent="0.25">
      <c r="A85" s="471"/>
      <c r="B85" s="472" t="s">
        <v>798</v>
      </c>
      <c r="C85" s="461">
        <f>2000*12</f>
        <v>24000</v>
      </c>
      <c r="D85" s="219"/>
      <c r="E85" s="730"/>
      <c r="F85" s="731"/>
      <c r="G85" s="731"/>
      <c r="H85" s="731"/>
    </row>
    <row r="86" spans="1:11" s="176" customFormat="1" x14ac:dyDescent="0.25">
      <c r="A86" s="468" t="s">
        <v>273</v>
      </c>
      <c r="B86" s="376" t="s">
        <v>335</v>
      </c>
      <c r="C86" s="494"/>
      <c r="D86" s="460">
        <f>SUM(C87)</f>
        <v>8000</v>
      </c>
      <c r="E86" s="195"/>
    </row>
    <row r="87" spans="1:11" x14ac:dyDescent="0.25">
      <c r="A87" s="218"/>
      <c r="B87" s="472" t="s">
        <v>663</v>
      </c>
      <c r="C87" s="491">
        <f>2000*4</f>
        <v>8000</v>
      </c>
      <c r="D87" s="219"/>
      <c r="E87" s="35"/>
    </row>
    <row r="88" spans="1:11" s="176" customFormat="1" x14ac:dyDescent="0.25">
      <c r="A88" s="206"/>
      <c r="B88" s="207" t="s">
        <v>345</v>
      </c>
      <c r="C88" s="230"/>
      <c r="D88" s="208">
        <f>SUM(D81:D87)</f>
        <v>238800</v>
      </c>
      <c r="E88" s="195"/>
    </row>
    <row r="89" spans="1:11" s="176" customFormat="1" x14ac:dyDescent="0.25">
      <c r="A89" s="307" t="s">
        <v>336</v>
      </c>
      <c r="B89" s="205" t="s">
        <v>337</v>
      </c>
      <c r="C89" s="231"/>
      <c r="D89" s="204">
        <f>SUM(C90:C92)</f>
        <v>3031700</v>
      </c>
      <c r="E89" s="195"/>
    </row>
    <row r="90" spans="1:11" x14ac:dyDescent="0.25">
      <c r="A90" s="218"/>
      <c r="B90" s="375" t="s">
        <v>575</v>
      </c>
      <c r="C90" s="491">
        <f>7000*70.1</f>
        <v>490699.99999999994</v>
      </c>
      <c r="D90" s="219"/>
      <c r="E90" s="35"/>
      <c r="F90" s="740"/>
      <c r="G90" s="639"/>
      <c r="H90" s="639"/>
      <c r="I90" s="639"/>
      <c r="J90" s="639"/>
      <c r="K90" s="741"/>
    </row>
    <row r="91" spans="1:11" x14ac:dyDescent="0.25">
      <c r="A91" s="218"/>
      <c r="B91" s="375" t="s">
        <v>576</v>
      </c>
      <c r="C91" s="491">
        <f>3000*747</f>
        <v>2241000</v>
      </c>
      <c r="D91" s="219"/>
      <c r="E91" s="35"/>
      <c r="F91" s="742"/>
      <c r="G91" s="638"/>
      <c r="H91" s="638"/>
      <c r="I91" s="638"/>
      <c r="J91" s="638"/>
      <c r="K91" s="743"/>
    </row>
    <row r="92" spans="1:11" x14ac:dyDescent="0.25">
      <c r="A92" s="218"/>
      <c r="B92" s="375" t="s">
        <v>72</v>
      </c>
      <c r="C92" s="491">
        <v>300000</v>
      </c>
      <c r="D92" s="219"/>
      <c r="E92" s="35"/>
      <c r="F92" s="751"/>
      <c r="G92" s="751"/>
      <c r="H92" s="751"/>
    </row>
    <row r="93" spans="1:11" s="176" customFormat="1" x14ac:dyDescent="0.25">
      <c r="A93" s="487" t="s">
        <v>79</v>
      </c>
      <c r="B93" s="376" t="s">
        <v>426</v>
      </c>
      <c r="C93" s="494"/>
      <c r="D93" s="460">
        <f>SUM(C94:C95)</f>
        <v>348000</v>
      </c>
      <c r="E93" s="195"/>
    </row>
    <row r="94" spans="1:11" ht="18" customHeight="1" x14ac:dyDescent="0.25">
      <c r="A94" s="473"/>
      <c r="B94" s="370" t="s">
        <v>426</v>
      </c>
      <c r="C94" s="491">
        <v>300000</v>
      </c>
      <c r="D94" s="219"/>
    </row>
    <row r="95" spans="1:11" ht="18" customHeight="1" x14ac:dyDescent="0.25">
      <c r="A95" s="473"/>
      <c r="B95" s="370" t="s">
        <v>664</v>
      </c>
      <c r="C95" s="509">
        <f>12000*4</f>
        <v>48000</v>
      </c>
      <c r="D95" s="510"/>
      <c r="E95" s="726"/>
      <c r="F95" s="727"/>
      <c r="G95" s="727"/>
    </row>
    <row r="96" spans="1:11" s="176" customFormat="1" x14ac:dyDescent="0.25">
      <c r="A96" s="487" t="s">
        <v>83</v>
      </c>
      <c r="B96" s="376" t="s">
        <v>338</v>
      </c>
      <c r="C96" s="494"/>
      <c r="D96" s="460">
        <f>SUM(C97:C99)</f>
        <v>173000</v>
      </c>
      <c r="E96" s="195"/>
    </row>
    <row r="97" spans="1:11" x14ac:dyDescent="0.25">
      <c r="A97" s="218"/>
      <c r="B97" s="375" t="s">
        <v>577</v>
      </c>
      <c r="C97" s="491">
        <f>6*3500</f>
        <v>21000</v>
      </c>
      <c r="D97" s="219"/>
      <c r="E97" s="749"/>
      <c r="F97" s="750"/>
      <c r="G97" s="686"/>
      <c r="H97" s="687"/>
      <c r="I97" s="687"/>
      <c r="J97" s="687"/>
      <c r="K97" s="688"/>
    </row>
    <row r="98" spans="1:11" x14ac:dyDescent="0.25">
      <c r="A98" s="218"/>
      <c r="B98" s="375" t="s">
        <v>339</v>
      </c>
      <c r="C98" s="491">
        <f>12*6000</f>
        <v>72000</v>
      </c>
      <c r="D98" s="219"/>
      <c r="E98" s="35"/>
    </row>
    <row r="99" spans="1:11" x14ac:dyDescent="0.25">
      <c r="A99" s="218"/>
      <c r="B99" s="375" t="s">
        <v>578</v>
      </c>
      <c r="C99" s="491">
        <v>80000</v>
      </c>
      <c r="D99" s="219"/>
      <c r="E99" s="35"/>
    </row>
    <row r="100" spans="1:11" s="176" customFormat="1" x14ac:dyDescent="0.25">
      <c r="A100" s="487" t="s">
        <v>86</v>
      </c>
      <c r="B100" s="376" t="s">
        <v>340</v>
      </c>
      <c r="C100" s="494"/>
      <c r="D100" s="460">
        <f>SUM(C101:C106)</f>
        <v>183400</v>
      </c>
      <c r="E100" s="195"/>
    </row>
    <row r="101" spans="1:11" x14ac:dyDescent="0.25">
      <c r="A101" s="218"/>
      <c r="B101" s="375" t="s">
        <v>384</v>
      </c>
      <c r="C101" s="491">
        <v>20000</v>
      </c>
      <c r="D101" s="219"/>
      <c r="E101" s="35"/>
    </row>
    <row r="102" spans="1:11" x14ac:dyDescent="0.25">
      <c r="A102" s="218"/>
      <c r="B102" s="375" t="s">
        <v>579</v>
      </c>
      <c r="C102" s="491">
        <v>20000</v>
      </c>
      <c r="D102" s="219"/>
      <c r="E102" s="35"/>
    </row>
    <row r="103" spans="1:11" x14ac:dyDescent="0.25">
      <c r="A103" s="218"/>
      <c r="B103" s="375" t="s">
        <v>580</v>
      </c>
      <c r="C103" s="491">
        <v>13400</v>
      </c>
      <c r="D103" s="219"/>
      <c r="E103" s="349"/>
      <c r="F103" s="350"/>
    </row>
    <row r="104" spans="1:11" ht="29.25" customHeight="1" x14ac:dyDescent="0.25">
      <c r="A104" s="218"/>
      <c r="B104" s="375" t="s">
        <v>581</v>
      </c>
      <c r="C104" s="491">
        <v>70000</v>
      </c>
      <c r="D104" s="219"/>
      <c r="E104" s="753"/>
      <c r="F104" s="754"/>
      <c r="G104" s="739"/>
      <c r="H104" s="739"/>
      <c r="I104" s="739"/>
      <c r="J104" s="739"/>
      <c r="K104" s="739"/>
    </row>
    <row r="105" spans="1:11" x14ac:dyDescent="0.25">
      <c r="A105" s="218"/>
      <c r="B105" s="375" t="s">
        <v>582</v>
      </c>
      <c r="C105" s="491">
        <v>0</v>
      </c>
      <c r="D105" s="219"/>
      <c r="E105" s="349"/>
      <c r="F105" s="350"/>
    </row>
    <row r="106" spans="1:11" x14ac:dyDescent="0.25">
      <c r="A106" s="218"/>
      <c r="B106" s="375" t="s">
        <v>665</v>
      </c>
      <c r="C106" s="491">
        <f>15000*4</f>
        <v>60000</v>
      </c>
      <c r="D106" s="219"/>
      <c r="E106" s="35"/>
    </row>
    <row r="107" spans="1:11" s="176" customFormat="1" x14ac:dyDescent="0.25">
      <c r="A107" s="206"/>
      <c r="B107" s="207" t="s">
        <v>346</v>
      </c>
      <c r="C107" s="230"/>
      <c r="D107" s="208">
        <f>SUM(D89:D106)</f>
        <v>3736100</v>
      </c>
      <c r="E107" s="195"/>
    </row>
    <row r="108" spans="1:11" s="176" customFormat="1" x14ac:dyDescent="0.25">
      <c r="A108" s="245" t="s">
        <v>103</v>
      </c>
      <c r="B108" s="205" t="s">
        <v>341</v>
      </c>
      <c r="C108" s="231"/>
      <c r="D108" s="204">
        <f>SUM(C109)</f>
        <v>60000</v>
      </c>
      <c r="E108" s="195"/>
    </row>
    <row r="109" spans="1:11" ht="30" x14ac:dyDescent="0.25">
      <c r="A109" s="308"/>
      <c r="B109" s="284" t="s">
        <v>356</v>
      </c>
      <c r="C109" s="171">
        <v>60000</v>
      </c>
      <c r="D109" s="199"/>
      <c r="E109" s="35"/>
    </row>
    <row r="110" spans="1:11" s="176" customFormat="1" x14ac:dyDescent="0.25">
      <c r="A110" s="245" t="s">
        <v>342</v>
      </c>
      <c r="B110" s="205" t="s">
        <v>357</v>
      </c>
      <c r="C110" s="231"/>
      <c r="D110" s="204">
        <v>0</v>
      </c>
      <c r="E110" s="195"/>
    </row>
    <row r="111" spans="1:11" s="176" customFormat="1" x14ac:dyDescent="0.25">
      <c r="A111" s="206"/>
      <c r="B111" s="207" t="s">
        <v>360</v>
      </c>
      <c r="C111" s="213"/>
      <c r="D111" s="208">
        <f>SUM(D108:D110)</f>
        <v>60000</v>
      </c>
      <c r="E111" s="195"/>
    </row>
    <row r="112" spans="1:11" s="176" customFormat="1" x14ac:dyDescent="0.25">
      <c r="A112" s="245" t="s">
        <v>38</v>
      </c>
      <c r="B112" s="205" t="s">
        <v>343</v>
      </c>
      <c r="C112" s="214"/>
      <c r="D112" s="204">
        <f>SUM(C113:C122)</f>
        <v>1139797</v>
      </c>
      <c r="E112" s="195"/>
      <c r="G112" s="330"/>
    </row>
    <row r="113" spans="1:10" x14ac:dyDescent="0.25">
      <c r="A113" s="203"/>
      <c r="B113" s="174" t="s">
        <v>350</v>
      </c>
      <c r="C113" s="215">
        <f>SUM(C69)*0.05</f>
        <v>1000</v>
      </c>
      <c r="D113" s="199"/>
      <c r="E113" s="35"/>
    </row>
    <row r="114" spans="1:10" x14ac:dyDescent="0.25">
      <c r="A114" s="203"/>
      <c r="B114" s="174" t="s">
        <v>353</v>
      </c>
      <c r="C114" s="215">
        <f>SUM(C70:C71)*0.27</f>
        <v>5400</v>
      </c>
      <c r="D114" s="199"/>
      <c r="E114" s="35"/>
    </row>
    <row r="115" spans="1:10" x14ac:dyDescent="0.25">
      <c r="A115" s="203"/>
      <c r="B115" s="174" t="s">
        <v>354</v>
      </c>
      <c r="C115" s="215">
        <f>SUM(C74:C79)*0.27</f>
        <v>149580</v>
      </c>
      <c r="D115" s="199"/>
      <c r="E115" s="35"/>
    </row>
    <row r="116" spans="1:10" x14ac:dyDescent="0.25">
      <c r="A116" s="203"/>
      <c r="B116" s="174" t="s">
        <v>370</v>
      </c>
      <c r="C116" s="215">
        <f>SUM(C83)*0.27</f>
        <v>10800</v>
      </c>
      <c r="D116" s="199"/>
      <c r="E116" s="35"/>
    </row>
    <row r="117" spans="1:10" x14ac:dyDescent="0.25">
      <c r="A117" s="203"/>
      <c r="B117" s="174" t="s">
        <v>711</v>
      </c>
      <c r="C117" s="215">
        <f>SUM(C84)*0.05</f>
        <v>2340</v>
      </c>
      <c r="D117" s="199"/>
      <c r="E117" s="35"/>
      <c r="F117" s="740"/>
      <c r="G117" s="639"/>
      <c r="H117" s="639"/>
      <c r="I117" s="639"/>
      <c r="J117" s="741"/>
    </row>
    <row r="118" spans="1:10" x14ac:dyDescent="0.25">
      <c r="A118" s="203"/>
      <c r="B118" s="174" t="s">
        <v>712</v>
      </c>
      <c r="C118" s="215">
        <f>SUM(C85)*0.27</f>
        <v>6480</v>
      </c>
      <c r="D118" s="199"/>
      <c r="E118" s="35"/>
      <c r="F118" s="742"/>
      <c r="G118" s="638"/>
      <c r="H118" s="638"/>
      <c r="I118" s="638"/>
      <c r="J118" s="743"/>
    </row>
    <row r="119" spans="1:10" x14ac:dyDescent="0.25">
      <c r="A119" s="203"/>
      <c r="B119" s="174" t="s">
        <v>355</v>
      </c>
      <c r="C119" s="215">
        <f>SUM(C87)*0.27</f>
        <v>2160</v>
      </c>
      <c r="D119" s="199"/>
      <c r="E119" s="35"/>
      <c r="F119" s="399"/>
      <c r="G119" s="399"/>
      <c r="H119" s="399"/>
      <c r="I119" s="399"/>
      <c r="J119" s="399"/>
    </row>
    <row r="120" spans="1:10" x14ac:dyDescent="0.25">
      <c r="A120" s="203"/>
      <c r="B120" s="174" t="s">
        <v>371</v>
      </c>
      <c r="C120" s="215">
        <f>SUM(C90:C92)*0.27</f>
        <v>818559</v>
      </c>
      <c r="D120" s="199"/>
      <c r="E120" s="35"/>
      <c r="F120" s="399"/>
      <c r="G120" s="399"/>
      <c r="H120" s="399"/>
      <c r="I120" s="399"/>
      <c r="J120" s="399"/>
    </row>
    <row r="121" spans="1:10" x14ac:dyDescent="0.25">
      <c r="A121" s="203"/>
      <c r="B121" s="174" t="s">
        <v>389</v>
      </c>
      <c r="C121" s="215">
        <f>(C94+C95)*0.27</f>
        <v>93960</v>
      </c>
      <c r="D121" s="199"/>
      <c r="E121" s="35"/>
      <c r="F121" s="683"/>
      <c r="G121" s="684"/>
      <c r="H121" s="684"/>
      <c r="I121" s="684"/>
      <c r="J121" s="685"/>
    </row>
    <row r="122" spans="1:10" x14ac:dyDescent="0.25">
      <c r="A122" s="203"/>
      <c r="B122" s="174" t="s">
        <v>372</v>
      </c>
      <c r="C122" s="215">
        <f>SUM(C101:C106)*0.27</f>
        <v>49518</v>
      </c>
      <c r="D122" s="199"/>
      <c r="E122" s="35"/>
      <c r="F122" s="399"/>
      <c r="G122" s="399"/>
      <c r="H122" s="399"/>
      <c r="I122" s="399"/>
      <c r="J122" s="399"/>
    </row>
    <row r="123" spans="1:10" s="176" customFormat="1" x14ac:dyDescent="0.25">
      <c r="A123" s="245" t="s">
        <v>107</v>
      </c>
      <c r="B123" s="205" t="s">
        <v>348</v>
      </c>
      <c r="C123" s="214"/>
      <c r="D123" s="204">
        <f>SUM(C124)</f>
        <v>1000</v>
      </c>
      <c r="E123" s="195"/>
    </row>
    <row r="124" spans="1:10" ht="30" x14ac:dyDescent="0.25">
      <c r="A124" s="203"/>
      <c r="B124" s="174" t="s">
        <v>349</v>
      </c>
      <c r="C124" s="215">
        <v>1000</v>
      </c>
      <c r="D124" s="199"/>
      <c r="E124" s="35"/>
      <c r="H124" s="752"/>
      <c r="I124" s="752"/>
    </row>
    <row r="125" spans="1:10" s="176" customFormat="1" x14ac:dyDescent="0.25">
      <c r="A125" s="206"/>
      <c r="B125" s="207" t="s">
        <v>347</v>
      </c>
      <c r="C125" s="213"/>
      <c r="D125" s="208">
        <f>SUM(D112:D124)</f>
        <v>1140797</v>
      </c>
      <c r="E125" s="195"/>
    </row>
    <row r="126" spans="1:10" ht="15" customHeight="1" x14ac:dyDescent="0.25">
      <c r="A126" s="725" t="s">
        <v>110</v>
      </c>
      <c r="B126" s="603"/>
      <c r="C126" s="226"/>
      <c r="D126" s="200">
        <f>SUM(D125,D111,D107,D88,D80)</f>
        <v>5829697</v>
      </c>
      <c r="E126" s="22"/>
    </row>
    <row r="127" spans="1:10" s="176" customFormat="1" x14ac:dyDescent="0.25">
      <c r="A127" s="245" t="s">
        <v>111</v>
      </c>
      <c r="B127" s="205" t="s">
        <v>205</v>
      </c>
      <c r="C127" s="214"/>
      <c r="D127" s="204">
        <f>SUM(C128:C129)</f>
        <v>160000</v>
      </c>
      <c r="E127" s="195"/>
    </row>
    <row r="128" spans="1:10" ht="30" x14ac:dyDescent="0.25">
      <c r="A128" s="203"/>
      <c r="B128" s="284" t="s">
        <v>697</v>
      </c>
      <c r="C128" s="171">
        <v>160000</v>
      </c>
      <c r="D128" s="199"/>
      <c r="E128" s="35"/>
    </row>
    <row r="129" spans="1:5" x14ac:dyDescent="0.25">
      <c r="A129" s="203"/>
      <c r="B129" s="174"/>
      <c r="C129" s="215"/>
      <c r="D129" s="199"/>
      <c r="E129" s="35"/>
    </row>
    <row r="130" spans="1:5" s="176" customFormat="1" x14ac:dyDescent="0.25">
      <c r="A130" s="245" t="s">
        <v>113</v>
      </c>
      <c r="B130" s="205" t="s">
        <v>114</v>
      </c>
      <c r="C130" s="214"/>
      <c r="D130" s="204">
        <f>SUM(C131:C132)</f>
        <v>43200</v>
      </c>
      <c r="E130" s="195"/>
    </row>
    <row r="131" spans="1:5" x14ac:dyDescent="0.25">
      <c r="A131" s="203"/>
      <c r="B131" s="174" t="s">
        <v>362</v>
      </c>
      <c r="C131" s="215">
        <f>SUM(C128)*0.27</f>
        <v>43200</v>
      </c>
      <c r="D131" s="199"/>
      <c r="E131" s="35"/>
    </row>
    <row r="132" spans="1:5" x14ac:dyDescent="0.25">
      <c r="A132" s="203"/>
      <c r="B132" s="174"/>
      <c r="C132" s="215"/>
      <c r="D132" s="199"/>
      <c r="E132" s="35"/>
    </row>
    <row r="133" spans="1:5" ht="15" customHeight="1" x14ac:dyDescent="0.25">
      <c r="A133" s="725" t="s">
        <v>333</v>
      </c>
      <c r="B133" s="603" t="s">
        <v>115</v>
      </c>
      <c r="C133" s="226"/>
      <c r="D133" s="200">
        <f>SUM(D127:D132)</f>
        <v>203200</v>
      </c>
      <c r="E133" s="22"/>
    </row>
    <row r="134" spans="1:5" ht="15" customHeight="1" x14ac:dyDescent="0.25">
      <c r="A134" s="262"/>
      <c r="B134" s="160"/>
      <c r="C134" s="217"/>
      <c r="D134" s="200"/>
      <c r="E134" s="22"/>
    </row>
    <row r="135" spans="1:5" ht="15" customHeight="1" x14ac:dyDescent="0.25">
      <c r="A135" s="262"/>
      <c r="B135" s="160"/>
      <c r="C135" s="217"/>
      <c r="D135" s="200"/>
      <c r="E135" s="22"/>
    </row>
    <row r="136" spans="1:5" ht="15" customHeight="1" thickBot="1" x14ac:dyDescent="0.3">
      <c r="A136" s="747" t="s">
        <v>120</v>
      </c>
      <c r="B136" s="748" t="s">
        <v>233</v>
      </c>
      <c r="C136" s="216"/>
      <c r="D136" s="202">
        <v>0</v>
      </c>
      <c r="E136" s="22"/>
    </row>
    <row r="137" spans="1:5" s="194" customFormat="1" ht="18" thickBot="1" x14ac:dyDescent="0.35">
      <c r="A137" s="745" t="s">
        <v>361</v>
      </c>
      <c r="B137" s="746"/>
      <c r="C137" s="255">
        <f>SUM(C4:C136)</f>
        <v>42264756.450000003</v>
      </c>
      <c r="D137" s="276">
        <f>SUM(D136,D133,D126,D67,D61)</f>
        <v>42264756</v>
      </c>
    </row>
    <row r="138" spans="1:5" ht="18.75" x14ac:dyDescent="0.3">
      <c r="A138" s="156"/>
      <c r="B138" s="156"/>
      <c r="C138" s="210"/>
      <c r="D138" s="197"/>
    </row>
  </sheetData>
  <mergeCells count="27">
    <mergeCell ref="F121:J121"/>
    <mergeCell ref="A137:B137"/>
    <mergeCell ref="A126:B126"/>
    <mergeCell ref="B3:C3"/>
    <mergeCell ref="A133:B133"/>
    <mergeCell ref="A136:B136"/>
    <mergeCell ref="G104:K104"/>
    <mergeCell ref="F117:J118"/>
    <mergeCell ref="E97:F97"/>
    <mergeCell ref="G97:K97"/>
    <mergeCell ref="F45:J45"/>
    <mergeCell ref="F50:G50"/>
    <mergeCell ref="F92:H92"/>
    <mergeCell ref="H124:I124"/>
    <mergeCell ref="E104:F104"/>
    <mergeCell ref="F22:J22"/>
    <mergeCell ref="A1:D1"/>
    <mergeCell ref="A61:B61"/>
    <mergeCell ref="A67:B67"/>
    <mergeCell ref="E95:G95"/>
    <mergeCell ref="E81:I81"/>
    <mergeCell ref="E84:H85"/>
    <mergeCell ref="A2:D2"/>
    <mergeCell ref="F43:K44"/>
    <mergeCell ref="F48:K49"/>
    <mergeCell ref="F90:K91"/>
    <mergeCell ref="F17:I21"/>
  </mergeCells>
  <phoneticPr fontId="37" type="noConversion"/>
  <printOptions horizontalCentered="1"/>
  <pageMargins left="0.19685039370078741" right="0.19685039370078741" top="0.9055118110236221" bottom="1.0236220472440944" header="0.31496062992125984" footer="0.31496062992125984"/>
  <pageSetup paperSize="9" scale="87" orientation="portrait" r:id="rId1"/>
  <headerFooter>
    <oddHeader>&amp;C2023. évi költségvetés - tervezet 
 Gyermeklánc Óvoda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19</vt:i4>
      </vt:variant>
    </vt:vector>
  </HeadingPairs>
  <TitlesOfParts>
    <vt:vector size="36" baseType="lpstr">
      <vt:lpstr>kiadás 1</vt:lpstr>
      <vt:lpstr>összesítés_támogatással 1</vt:lpstr>
      <vt:lpstr>2023. évi bevételek összesen</vt:lpstr>
      <vt:lpstr>Gyermekétkeztetés bevételei</vt:lpstr>
      <vt:lpstr>2023. évi kiadások mindösszesen</vt:lpstr>
      <vt:lpstr>Gyermekétkeztetés kiadásai</vt:lpstr>
      <vt:lpstr>091110 Óvodai nevelés</vt:lpstr>
      <vt:lpstr>091140 Óvoda fenntartás</vt:lpstr>
      <vt:lpstr>104031 Bölcsődei ellátás</vt:lpstr>
      <vt:lpstr>104043 Gyj. Központ </vt:lpstr>
      <vt:lpstr>104042 Gyj. Szolgálat</vt:lpstr>
      <vt:lpstr>104044 Nyitnikék Gyerekház </vt:lpstr>
      <vt:lpstr>EFOP-3.9.2 projekt</vt:lpstr>
      <vt:lpstr>TOP-5.2.1-15 projekt</vt:lpstr>
      <vt:lpstr>091120 Sajátos nevelési i</vt:lpstr>
      <vt:lpstr>kiadás 3</vt:lpstr>
      <vt:lpstr>összesítés_támogatással 3</vt:lpstr>
      <vt:lpstr>'091110 Óvodai nevelés'!Nyomtatási_cím</vt:lpstr>
      <vt:lpstr>'091140 Óvoda fenntartás'!Nyomtatási_cím</vt:lpstr>
      <vt:lpstr>'104031 Bölcsődei ellátás'!Nyomtatási_cím</vt:lpstr>
      <vt:lpstr>'104042 Gyj. Szolgálat'!Nyomtatási_cím</vt:lpstr>
      <vt:lpstr>'104043 Gyj. Központ '!Nyomtatási_cím</vt:lpstr>
      <vt:lpstr>'104044 Nyitnikék Gyerekház '!Nyomtatási_cím</vt:lpstr>
      <vt:lpstr>'091110 Óvodai nevelés'!Nyomtatási_terület</vt:lpstr>
      <vt:lpstr>'091120 Sajátos nevelési i'!Nyomtatási_terület</vt:lpstr>
      <vt:lpstr>'091140 Óvoda fenntartás'!Nyomtatási_terület</vt:lpstr>
      <vt:lpstr>'104031 Bölcsődei ellátás'!Nyomtatási_terület</vt:lpstr>
      <vt:lpstr>'104042 Gyj. Szolgálat'!Nyomtatási_terület</vt:lpstr>
      <vt:lpstr>'104043 Gyj. Központ '!Nyomtatási_terület</vt:lpstr>
      <vt:lpstr>'104044 Nyitnikék Gyerekház '!Nyomtatási_terület</vt:lpstr>
      <vt:lpstr>'2023. évi bevételek összesen'!Nyomtatási_terület</vt:lpstr>
      <vt:lpstr>'2023. évi kiadások mindösszesen'!Nyomtatási_terület</vt:lpstr>
      <vt:lpstr>'EFOP-3.9.2 projekt'!Nyomtatási_terület</vt:lpstr>
      <vt:lpstr>'Gyermekétkeztetés bevételei'!Nyomtatási_terület</vt:lpstr>
      <vt:lpstr>'Gyermekétkeztetés kiadásai'!Nyomtatási_terület</vt:lpstr>
      <vt:lpstr>'TOP-5.2.1-15 projekt'!Nyomtatási_terület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2023-01-25T10:01:08Z</dcterms:modified>
</cp:coreProperties>
</file>